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75" windowWidth="8415" windowHeight="11640" firstSheet="2" activeTab="4"/>
  </bookViews>
  <sheets>
    <sheet name="Montag" sheetId="1" r:id="rId1"/>
    <sheet name="Dienstag" sheetId="2" r:id="rId2"/>
    <sheet name="Mittwoch" sheetId="3" r:id="rId3"/>
    <sheet name="Donnerstag" sheetId="4" r:id="rId4"/>
    <sheet name="Freitag" sheetId="5" r:id="rId5"/>
    <sheet name="Tabelle6" sheetId="6" r:id="rId6"/>
    <sheet name="Tabelle7" sheetId="7" r:id="rId7"/>
    <sheet name="Kompatibilitätsbericht" sheetId="8" r:id="rId8"/>
  </sheets>
  <definedNames>
    <definedName name="_xlnm.Print_Area" localSheetId="1">Dienstag!$A$2:$O$60</definedName>
    <definedName name="_xlnm.Print_Area" localSheetId="2">Mittwoch!$A$2:$O$60</definedName>
    <definedName name="_xlnm.Print_Area" localSheetId="0">Montag!$A$2:$M$57</definedName>
  </definedNames>
  <calcPr calcId="125725"/>
</workbook>
</file>

<file path=xl/calcChain.xml><?xml version="1.0" encoding="utf-8"?>
<calcChain xmlns="http://schemas.openxmlformats.org/spreadsheetml/2006/main">
  <c r="J42" i="5"/>
  <c r="E42"/>
  <c r="K13"/>
  <c r="E41"/>
  <c r="J41"/>
  <c r="K12"/>
  <c r="J40"/>
  <c r="E40"/>
  <c r="K11"/>
  <c r="J39"/>
  <c r="E39"/>
  <c r="K10"/>
  <c r="J38"/>
  <c r="E38"/>
  <c r="K9"/>
  <c r="J37"/>
  <c r="E37"/>
  <c r="K8"/>
  <c r="J36"/>
  <c r="E36"/>
  <c r="K7"/>
  <c r="J35"/>
  <c r="E3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K6"/>
  <c r="J34"/>
  <c r="E34"/>
  <c r="L5"/>
  <c r="K5"/>
  <c r="K29" s="1"/>
  <c r="N29"/>
  <c r="J29"/>
  <c r="I29"/>
  <c r="H29"/>
  <c r="G29"/>
  <c r="E29"/>
  <c r="D29"/>
  <c r="C29"/>
  <c r="B29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5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34"/>
  <c r="J57" i="4"/>
  <c r="E57"/>
  <c r="K28"/>
  <c r="J56"/>
  <c r="E56"/>
  <c r="K27"/>
  <c r="J55"/>
  <c r="E55"/>
  <c r="K26"/>
  <c r="J54"/>
  <c r="E54"/>
  <c r="K25"/>
  <c r="E53"/>
  <c r="K24"/>
  <c r="J52"/>
  <c r="E52"/>
  <c r="K23"/>
  <c r="E51"/>
  <c r="J50"/>
  <c r="E50"/>
  <c r="K21"/>
  <c r="E49"/>
  <c r="K20"/>
  <c r="J48"/>
  <c r="E48"/>
  <c r="K19"/>
  <c r="M58"/>
  <c r="J29"/>
  <c r="E58"/>
  <c r="J47"/>
  <c r="E47"/>
  <c r="K18"/>
  <c r="J46"/>
  <c r="E46"/>
  <c r="K17"/>
  <c r="J45"/>
  <c r="E45"/>
  <c r="K16"/>
  <c r="J44"/>
  <c r="E44"/>
  <c r="K15"/>
  <c r="K57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34"/>
  <c r="J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34"/>
  <c r="E34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6"/>
  <c r="L7"/>
  <c r="L8"/>
  <c r="L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5"/>
  <c r="J43"/>
  <c r="E43"/>
  <c r="K14"/>
  <c r="J42"/>
  <c r="E42"/>
  <c r="K13"/>
  <c r="J41"/>
  <c r="E41"/>
  <c r="K12"/>
  <c r="E40"/>
  <c r="E39"/>
  <c r="E38"/>
  <c r="E37"/>
  <c r="E36"/>
  <c r="E35"/>
  <c r="J40"/>
  <c r="J39"/>
  <c r="J38"/>
  <c r="J37"/>
  <c r="J36"/>
  <c r="J35"/>
  <c r="K11"/>
  <c r="K10"/>
  <c r="K9"/>
  <c r="K8"/>
  <c r="K7"/>
  <c r="K6"/>
  <c r="K5"/>
  <c r="J57" i="3"/>
  <c r="J56"/>
  <c r="J55"/>
  <c r="J54"/>
  <c r="J53"/>
  <c r="J52"/>
  <c r="J51"/>
  <c r="J50"/>
  <c r="J49"/>
  <c r="J48"/>
  <c r="E57"/>
  <c r="E56"/>
  <c r="E55"/>
  <c r="E54"/>
  <c r="E53"/>
  <c r="E52"/>
  <c r="E51"/>
  <c r="E50"/>
  <c r="E49"/>
  <c r="E48"/>
  <c r="K28"/>
  <c r="K27"/>
  <c r="K26"/>
  <c r="K25"/>
  <c r="K24"/>
  <c r="K22"/>
  <c r="K21"/>
  <c r="K20"/>
  <c r="K19"/>
  <c r="V60" i="1"/>
  <c r="U60"/>
  <c r="T60"/>
  <c r="Q60"/>
  <c r="P60"/>
  <c r="O60"/>
  <c r="Z61" s="1"/>
  <c r="X59"/>
  <c r="W59"/>
  <c r="R59"/>
  <c r="S59" s="1"/>
  <c r="W58"/>
  <c r="X58" s="1"/>
  <c r="R58"/>
  <c r="W57"/>
  <c r="X57" s="1"/>
  <c r="R57"/>
  <c r="Y57" s="1"/>
  <c r="W56"/>
  <c r="X56" s="1"/>
  <c r="R56"/>
  <c r="W55"/>
  <c r="X55" s="1"/>
  <c r="R55"/>
  <c r="S55" s="1"/>
  <c r="W54"/>
  <c r="X54" s="1"/>
  <c r="R54"/>
  <c r="X53"/>
  <c r="R53"/>
  <c r="Y53" s="1"/>
  <c r="W52"/>
  <c r="X52" s="1"/>
  <c r="R52"/>
  <c r="Y52" s="1"/>
  <c r="W51"/>
  <c r="X51" s="1"/>
  <c r="R51"/>
  <c r="Y51" s="1"/>
  <c r="W50"/>
  <c r="X50" s="1"/>
  <c r="R50"/>
  <c r="S50" s="1"/>
  <c r="W49"/>
  <c r="X49" s="1"/>
  <c r="R49"/>
  <c r="Y49" s="1"/>
  <c r="W48"/>
  <c r="X48" s="1"/>
  <c r="R48"/>
  <c r="W47"/>
  <c r="X47" s="1"/>
  <c r="R47"/>
  <c r="W46"/>
  <c r="X46" s="1"/>
  <c r="R46"/>
  <c r="S46" s="1"/>
  <c r="W45"/>
  <c r="X45" s="1"/>
  <c r="R45"/>
  <c r="S45" s="1"/>
  <c r="W44"/>
  <c r="X44" s="1"/>
  <c r="R44"/>
  <c r="Y44" s="1"/>
  <c r="W43"/>
  <c r="X43" s="1"/>
  <c r="R43"/>
  <c r="W42"/>
  <c r="X42" s="1"/>
  <c r="R42"/>
  <c r="Y42" s="1"/>
  <c r="W41"/>
  <c r="X41" s="1"/>
  <c r="R41"/>
  <c r="W40"/>
  <c r="X40" s="1"/>
  <c r="R40"/>
  <c r="X39"/>
  <c r="W39"/>
  <c r="R39"/>
  <c r="Y39" s="1"/>
  <c r="W38"/>
  <c r="X38" s="1"/>
  <c r="R38"/>
  <c r="S38" s="1"/>
  <c r="W37"/>
  <c r="X37" s="1"/>
  <c r="R37"/>
  <c r="W36"/>
  <c r="R36"/>
  <c r="W30"/>
  <c r="V30"/>
  <c r="U30"/>
  <c r="R30"/>
  <c r="Q30"/>
  <c r="P30"/>
  <c r="O30"/>
  <c r="X29"/>
  <c r="Z29" s="1"/>
  <c r="S29"/>
  <c r="Y28"/>
  <c r="X28"/>
  <c r="Z28" s="1"/>
  <c r="S28"/>
  <c r="Z27"/>
  <c r="Y27"/>
  <c r="X27"/>
  <c r="S27"/>
  <c r="Z26"/>
  <c r="Y26"/>
  <c r="X26"/>
  <c r="S26"/>
  <c r="Z25"/>
  <c r="Y25"/>
  <c r="X25"/>
  <c r="S25"/>
  <c r="Z24"/>
  <c r="Y24"/>
  <c r="X24"/>
  <c r="S24"/>
  <c r="Z23"/>
  <c r="Y23"/>
  <c r="X23"/>
  <c r="S23"/>
  <c r="Z22"/>
  <c r="Y22"/>
  <c r="X22"/>
  <c r="S22"/>
  <c r="Z21"/>
  <c r="Y21"/>
  <c r="X21"/>
  <c r="S21"/>
  <c r="Z20"/>
  <c r="Y20"/>
  <c r="X20"/>
  <c r="S20"/>
  <c r="Z19"/>
  <c r="Y19"/>
  <c r="X19"/>
  <c r="S19"/>
  <c r="Z18"/>
  <c r="Y18"/>
  <c r="X18"/>
  <c r="S18"/>
  <c r="Z17"/>
  <c r="Y17"/>
  <c r="X17"/>
  <c r="S17"/>
  <c r="Z16"/>
  <c r="Y16"/>
  <c r="X16"/>
  <c r="S16"/>
  <c r="Z15"/>
  <c r="Y15"/>
  <c r="X15"/>
  <c r="S15"/>
  <c r="Z14"/>
  <c r="Y14"/>
  <c r="X14"/>
  <c r="S14"/>
  <c r="Z13"/>
  <c r="Y13"/>
  <c r="X13"/>
  <c r="S13"/>
  <c r="Z12"/>
  <c r="Y12"/>
  <c r="X12"/>
  <c r="S12"/>
  <c r="Z11"/>
  <c r="Y11"/>
  <c r="X11"/>
  <c r="S11"/>
  <c r="Z10"/>
  <c r="Y10"/>
  <c r="X10"/>
  <c r="S10"/>
  <c r="Z9"/>
  <c r="Y9"/>
  <c r="X9"/>
  <c r="S9"/>
  <c r="Z8"/>
  <c r="Y8"/>
  <c r="X8"/>
  <c r="S8"/>
  <c r="Z7"/>
  <c r="X7"/>
  <c r="T7"/>
  <c r="T30" s="1"/>
  <c r="AA31" s="1"/>
  <c r="S7"/>
  <c r="Z6"/>
  <c r="X6"/>
  <c r="X30" s="1"/>
  <c r="S6"/>
  <c r="E46" i="3"/>
  <c r="E47"/>
  <c r="J47"/>
  <c r="K18"/>
  <c r="J46"/>
  <c r="K17"/>
  <c r="J45"/>
  <c r="E45"/>
  <c r="K16"/>
  <c r="J43"/>
  <c r="E43"/>
  <c r="K14"/>
  <c r="E44"/>
  <c r="K15"/>
  <c r="E42"/>
  <c r="K13"/>
  <c r="J41"/>
  <c r="E41"/>
  <c r="K12"/>
  <c r="J39"/>
  <c r="E39"/>
  <c r="K10"/>
  <c r="J40"/>
  <c r="E40"/>
  <c r="K11"/>
  <c r="J38"/>
  <c r="E38"/>
  <c r="K9"/>
  <c r="J37"/>
  <c r="E37"/>
  <c r="J36"/>
  <c r="E36"/>
  <c r="K7"/>
  <c r="J35"/>
  <c r="E35"/>
  <c r="K6"/>
  <c r="J34"/>
  <c r="M58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34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35"/>
  <c r="F34"/>
  <c r="E34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6"/>
  <c r="L5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6"/>
  <c r="F5"/>
  <c r="K5"/>
  <c r="K58" i="4"/>
  <c r="J58"/>
  <c r="I58"/>
  <c r="H58"/>
  <c r="G58"/>
  <c r="F58"/>
  <c r="D58"/>
  <c r="C58"/>
  <c r="B58"/>
  <c r="N59" s="1"/>
  <c r="L57"/>
  <c r="L56"/>
  <c r="L55"/>
  <c r="L54"/>
  <c r="P53"/>
  <c r="L53"/>
  <c r="L52"/>
  <c r="L51"/>
  <c r="L50"/>
  <c r="L49"/>
  <c r="L48"/>
  <c r="L47"/>
  <c r="L46"/>
  <c r="L45"/>
  <c r="L44"/>
  <c r="L43"/>
  <c r="P42"/>
  <c r="L42"/>
  <c r="L41"/>
  <c r="L40"/>
  <c r="L39"/>
  <c r="L38"/>
  <c r="L37"/>
  <c r="L36"/>
  <c r="L35"/>
  <c r="L34"/>
  <c r="N29"/>
  <c r="K29"/>
  <c r="I29"/>
  <c r="H29"/>
  <c r="G29"/>
  <c r="F29"/>
  <c r="E29"/>
  <c r="D29"/>
  <c r="C29"/>
  <c r="B29"/>
  <c r="M28"/>
  <c r="M27"/>
  <c r="M26"/>
  <c r="M25"/>
  <c r="P24"/>
  <c r="M24"/>
  <c r="M23"/>
  <c r="M22"/>
  <c r="M21"/>
  <c r="M20"/>
  <c r="M19"/>
  <c r="M18"/>
  <c r="M17"/>
  <c r="M16"/>
  <c r="M15"/>
  <c r="M14"/>
  <c r="P13"/>
  <c r="M13"/>
  <c r="M12"/>
  <c r="M11"/>
  <c r="M10"/>
  <c r="M9"/>
  <c r="M8"/>
  <c r="M7"/>
  <c r="M6"/>
  <c r="M5"/>
  <c r="K58" i="3"/>
  <c r="J58"/>
  <c r="I58"/>
  <c r="H58"/>
  <c r="G58"/>
  <c r="F58"/>
  <c r="E58"/>
  <c r="D58"/>
  <c r="C58"/>
  <c r="B58"/>
  <c r="M60" s="1"/>
  <c r="N29"/>
  <c r="L29"/>
  <c r="K29"/>
  <c r="I29"/>
  <c r="H29"/>
  <c r="G29"/>
  <c r="F29"/>
  <c r="E29"/>
  <c r="D29"/>
  <c r="C29"/>
  <c r="B29"/>
  <c r="K58" i="2"/>
  <c r="F58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35"/>
  <c r="F34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35"/>
  <c r="K34"/>
  <c r="L29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6"/>
  <c r="L5"/>
  <c r="F29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7"/>
  <c r="F6"/>
  <c r="F5"/>
  <c r="J57"/>
  <c r="E57"/>
  <c r="K28"/>
  <c r="J56"/>
  <c r="E56"/>
  <c r="K27"/>
  <c r="J55"/>
  <c r="E55"/>
  <c r="K26"/>
  <c r="J54"/>
  <c r="E54"/>
  <c r="K25"/>
  <c r="J53"/>
  <c r="E53"/>
  <c r="K24"/>
  <c r="J52"/>
  <c r="E52"/>
  <c r="K23"/>
  <c r="E51"/>
  <c r="K22"/>
  <c r="E50"/>
  <c r="J50"/>
  <c r="K21"/>
  <c r="E49"/>
  <c r="J49"/>
  <c r="K20"/>
  <c r="E47"/>
  <c r="J47"/>
  <c r="K18"/>
  <c r="M18"/>
  <c r="E48"/>
  <c r="J48"/>
  <c r="J29"/>
  <c r="K19"/>
  <c r="M19" s="1"/>
  <c r="P28" s="1"/>
  <c r="E46"/>
  <c r="J46"/>
  <c r="E45"/>
  <c r="J45"/>
  <c r="K16"/>
  <c r="K17"/>
  <c r="K5"/>
  <c r="K6"/>
  <c r="K7"/>
  <c r="M7" s="1"/>
  <c r="K8"/>
  <c r="K9"/>
  <c r="K10"/>
  <c r="K11"/>
  <c r="K12"/>
  <c r="K13"/>
  <c r="K14"/>
  <c r="K15"/>
  <c r="J28" i="1"/>
  <c r="J27"/>
  <c r="J26"/>
  <c r="J24"/>
  <c r="K24" s="1"/>
  <c r="J23"/>
  <c r="K23" s="1"/>
  <c r="J25"/>
  <c r="K25" s="1"/>
  <c r="J22"/>
  <c r="J21"/>
  <c r="J20"/>
  <c r="J19"/>
  <c r="J18"/>
  <c r="K18" s="1"/>
  <c r="J17"/>
  <c r="J16"/>
  <c r="J15"/>
  <c r="J14"/>
  <c r="J13"/>
  <c r="J12"/>
  <c r="J11"/>
  <c r="K11" s="1"/>
  <c r="J10"/>
  <c r="J9"/>
  <c r="J8"/>
  <c r="J7"/>
  <c r="J6"/>
  <c r="J5"/>
  <c r="E44" i="2"/>
  <c r="J44"/>
  <c r="I58"/>
  <c r="H58"/>
  <c r="G58"/>
  <c r="D58"/>
  <c r="C58"/>
  <c r="B58"/>
  <c r="I29"/>
  <c r="H29"/>
  <c r="E29"/>
  <c r="D29"/>
  <c r="C29"/>
  <c r="B29"/>
  <c r="J39"/>
  <c r="E39"/>
  <c r="E40"/>
  <c r="J40"/>
  <c r="E41"/>
  <c r="J41"/>
  <c r="E42"/>
  <c r="J42"/>
  <c r="M9"/>
  <c r="J43"/>
  <c r="E43"/>
  <c r="D29" i="1"/>
  <c r="C29"/>
  <c r="F58"/>
  <c r="G58"/>
  <c r="H58"/>
  <c r="C58"/>
  <c r="D58"/>
  <c r="B58"/>
  <c r="H29"/>
  <c r="G29"/>
  <c r="B29"/>
  <c r="I13" i="7"/>
  <c r="I17"/>
  <c r="I20"/>
  <c r="I21"/>
  <c r="I24"/>
  <c r="I25"/>
  <c r="I28"/>
  <c r="I29"/>
  <c r="I32"/>
  <c r="I10"/>
  <c r="I9"/>
  <c r="H32"/>
  <c r="H31"/>
  <c r="I31" s="1"/>
  <c r="H30"/>
  <c r="I30" s="1"/>
  <c r="H29"/>
  <c r="H28"/>
  <c r="H27"/>
  <c r="I27" s="1"/>
  <c r="H26"/>
  <c r="I26" s="1"/>
  <c r="H25"/>
  <c r="H24"/>
  <c r="H23"/>
  <c r="I23" s="1"/>
  <c r="H22"/>
  <c r="I22" s="1"/>
  <c r="H21"/>
  <c r="H20"/>
  <c r="H19"/>
  <c r="I19" s="1"/>
  <c r="H18"/>
  <c r="I18" s="1"/>
  <c r="H17"/>
  <c r="E17"/>
  <c r="H16"/>
  <c r="I16" s="1"/>
  <c r="H15"/>
  <c r="I15" s="1"/>
  <c r="H14"/>
  <c r="I14" s="1"/>
  <c r="H13"/>
  <c r="H12"/>
  <c r="I12" s="1"/>
  <c r="H11"/>
  <c r="I11" s="1"/>
  <c r="H10"/>
  <c r="H9"/>
  <c r="E55" i="1"/>
  <c r="I55"/>
  <c r="E56"/>
  <c r="I56"/>
  <c r="E57"/>
  <c r="I57"/>
  <c r="E54"/>
  <c r="I54"/>
  <c r="E34" i="2"/>
  <c r="E58" s="1"/>
  <c r="J34"/>
  <c r="J58"/>
  <c r="M5"/>
  <c r="E35"/>
  <c r="G6"/>
  <c r="G29"/>
  <c r="N30" s="1"/>
  <c r="J35"/>
  <c r="J36"/>
  <c r="E36"/>
  <c r="E37"/>
  <c r="L37" s="1"/>
  <c r="J37"/>
  <c r="E38"/>
  <c r="J38"/>
  <c r="I53" i="1"/>
  <c r="E53"/>
  <c r="J53" s="1"/>
  <c r="I52"/>
  <c r="E52"/>
  <c r="J52" s="1"/>
  <c r="I51"/>
  <c r="E51"/>
  <c r="I50"/>
  <c r="E50"/>
  <c r="I49"/>
  <c r="E49"/>
  <c r="K20"/>
  <c r="P53" i="5"/>
  <c r="P42"/>
  <c r="P24"/>
  <c r="P13"/>
  <c r="P53" i="3"/>
  <c r="P42"/>
  <c r="P24"/>
  <c r="P13"/>
  <c r="P53" i="2"/>
  <c r="P42"/>
  <c r="P24"/>
  <c r="L57" i="5"/>
  <c r="L56"/>
  <c r="L55"/>
  <c r="L54"/>
  <c r="L53"/>
  <c r="L52"/>
  <c r="L51"/>
  <c r="L50"/>
  <c r="L49"/>
  <c r="L48"/>
  <c r="L47"/>
  <c r="L46"/>
  <c r="P57"/>
  <c r="L45"/>
  <c r="L44"/>
  <c r="L43"/>
  <c r="L42"/>
  <c r="L41"/>
  <c r="L40"/>
  <c r="L39"/>
  <c r="L38"/>
  <c r="L37"/>
  <c r="L36"/>
  <c r="L35"/>
  <c r="L34"/>
  <c r="M28"/>
  <c r="M27"/>
  <c r="M26"/>
  <c r="M25"/>
  <c r="M24"/>
  <c r="M23"/>
  <c r="M22"/>
  <c r="M21"/>
  <c r="M20"/>
  <c r="M19"/>
  <c r="M18"/>
  <c r="M17"/>
  <c r="P28" s="1"/>
  <c r="M16"/>
  <c r="M15"/>
  <c r="M14"/>
  <c r="M13"/>
  <c r="M12"/>
  <c r="M11"/>
  <c r="M10"/>
  <c r="M9"/>
  <c r="M8"/>
  <c r="M7"/>
  <c r="M6"/>
  <c r="M5"/>
  <c r="L57" i="3"/>
  <c r="L56"/>
  <c r="L55"/>
  <c r="L54"/>
  <c r="L53"/>
  <c r="L52"/>
  <c r="L51"/>
  <c r="L50"/>
  <c r="L49"/>
  <c r="L48"/>
  <c r="L47"/>
  <c r="L46"/>
  <c r="P57" s="1"/>
  <c r="L45"/>
  <c r="L44"/>
  <c r="L43"/>
  <c r="L42"/>
  <c r="L41"/>
  <c r="L40"/>
  <c r="L39"/>
  <c r="L38"/>
  <c r="L37"/>
  <c r="L36"/>
  <c r="L35"/>
  <c r="L34"/>
  <c r="M28"/>
  <c r="M27"/>
  <c r="M26"/>
  <c r="M25"/>
  <c r="M24"/>
  <c r="M23"/>
  <c r="M22"/>
  <c r="M21"/>
  <c r="M20"/>
  <c r="M19"/>
  <c r="M18"/>
  <c r="P28" s="1"/>
  <c r="M17"/>
  <c r="M16"/>
  <c r="M15"/>
  <c r="M14"/>
  <c r="M13"/>
  <c r="M12"/>
  <c r="M11"/>
  <c r="M10"/>
  <c r="M9"/>
  <c r="M8"/>
  <c r="M7"/>
  <c r="M6"/>
  <c r="M5"/>
  <c r="M20" i="2"/>
  <c r="M13"/>
  <c r="L49"/>
  <c r="L42"/>
  <c r="E42" i="1"/>
  <c r="J42" s="1"/>
  <c r="F13"/>
  <c r="F29" s="1"/>
  <c r="E13"/>
  <c r="E29" s="1"/>
  <c r="K21"/>
  <c r="I47"/>
  <c r="E47"/>
  <c r="E48"/>
  <c r="I48"/>
  <c r="I34"/>
  <c r="E34"/>
  <c r="E35"/>
  <c r="J35" s="1"/>
  <c r="I35"/>
  <c r="E36"/>
  <c r="I36"/>
  <c r="E37"/>
  <c r="I37"/>
  <c r="I38"/>
  <c r="E38"/>
  <c r="I40"/>
  <c r="I44"/>
  <c r="E44"/>
  <c r="J44" s="1"/>
  <c r="E45"/>
  <c r="I45"/>
  <c r="I43"/>
  <c r="E43"/>
  <c r="L57" i="2"/>
  <c r="L56"/>
  <c r="L55"/>
  <c r="L54"/>
  <c r="L53"/>
  <c r="L52"/>
  <c r="L51"/>
  <c r="L50"/>
  <c r="L48"/>
  <c r="L47"/>
  <c r="L46"/>
  <c r="L44"/>
  <c r="L43"/>
  <c r="L41"/>
  <c r="L40"/>
  <c r="L39"/>
  <c r="L38"/>
  <c r="L36"/>
  <c r="L35"/>
  <c r="L34"/>
  <c r="J56" i="1"/>
  <c r="E41"/>
  <c r="J41" s="1"/>
  <c r="K28"/>
  <c r="K27"/>
  <c r="K26"/>
  <c r="K22"/>
  <c r="K19"/>
  <c r="M27" i="2"/>
  <c r="M28"/>
  <c r="M26"/>
  <c r="M25"/>
  <c r="M24"/>
  <c r="M23"/>
  <c r="M22"/>
  <c r="M21"/>
  <c r="M17"/>
  <c r="M16"/>
  <c r="M15"/>
  <c r="M14"/>
  <c r="M10"/>
  <c r="M11"/>
  <c r="M8"/>
  <c r="E39" i="1"/>
  <c r="J39" s="1"/>
  <c r="E46"/>
  <c r="I46"/>
  <c r="K17"/>
  <c r="E40"/>
  <c r="J40" s="1"/>
  <c r="K9"/>
  <c r="K16"/>
  <c r="K15"/>
  <c r="K14"/>
  <c r="K12"/>
  <c r="K10"/>
  <c r="K8"/>
  <c r="K7"/>
  <c r="K6"/>
  <c r="K5"/>
  <c r="P57" i="2"/>
  <c r="M6"/>
  <c r="P13"/>
  <c r="M12"/>
  <c r="K29"/>
  <c r="L45"/>
  <c r="M59"/>
  <c r="K59" i="1"/>
  <c r="J29"/>
  <c r="L29" i="5" l="1"/>
  <c r="P45"/>
  <c r="F29"/>
  <c r="O30"/>
  <c r="P16"/>
  <c r="M29"/>
  <c r="O30" i="4"/>
  <c r="P28"/>
  <c r="P57"/>
  <c r="L29"/>
  <c r="P45"/>
  <c r="L58"/>
  <c r="P16"/>
  <c r="M29"/>
  <c r="O30" i="3"/>
  <c r="J46" i="1"/>
  <c r="J55"/>
  <c r="S42"/>
  <c r="Y29"/>
  <c r="Y43"/>
  <c r="Y47"/>
  <c r="Y54"/>
  <c r="J54"/>
  <c r="Z30"/>
  <c r="Y36"/>
  <c r="Y41"/>
  <c r="S57"/>
  <c r="J37"/>
  <c r="J48"/>
  <c r="J57"/>
  <c r="S30"/>
  <c r="Y37"/>
  <c r="Y40"/>
  <c r="Y48"/>
  <c r="Y58"/>
  <c r="W60"/>
  <c r="Y45"/>
  <c r="Y55"/>
  <c r="Y56"/>
  <c r="S37"/>
  <c r="Y38"/>
  <c r="S41"/>
  <c r="Y46"/>
  <c r="S49"/>
  <c r="Y50"/>
  <c r="S53"/>
  <c r="S54"/>
  <c r="S58"/>
  <c r="Y59"/>
  <c r="R60"/>
  <c r="Y7"/>
  <c r="S36"/>
  <c r="S40"/>
  <c r="S44"/>
  <c r="S48"/>
  <c r="S52"/>
  <c r="Y6"/>
  <c r="Y30" s="1"/>
  <c r="S39"/>
  <c r="S43"/>
  <c r="S47"/>
  <c r="S51"/>
  <c r="S56"/>
  <c r="X36"/>
  <c r="X60" s="1"/>
  <c r="J43"/>
  <c r="J38"/>
  <c r="J58" s="1"/>
  <c r="J34"/>
  <c r="J47"/>
  <c r="J49"/>
  <c r="J50"/>
  <c r="J36"/>
  <c r="K13"/>
  <c r="E58"/>
  <c r="J45"/>
  <c r="L30"/>
  <c r="J51"/>
  <c r="I58"/>
  <c r="L58" i="3"/>
  <c r="M29"/>
  <c r="P16"/>
  <c r="P45"/>
  <c r="P45" i="2"/>
  <c r="L58"/>
  <c r="K29" i="1"/>
  <c r="M29" i="2"/>
  <c r="P16"/>
  <c r="Y60" i="1" l="1"/>
  <c r="S60"/>
</calcChain>
</file>

<file path=xl/sharedStrings.xml><?xml version="1.0" encoding="utf-8"?>
<sst xmlns="http://schemas.openxmlformats.org/spreadsheetml/2006/main" count="904" uniqueCount="58">
  <si>
    <t>Fr</t>
  </si>
  <si>
    <t>00-01Uhr</t>
  </si>
  <si>
    <t>01-02Uhr</t>
  </si>
  <si>
    <t>02-03Uhr</t>
  </si>
  <si>
    <t>03-04Uhr</t>
  </si>
  <si>
    <t>05-06Uhr</t>
  </si>
  <si>
    <t>07-08Uhr</t>
  </si>
  <si>
    <t>09-10Uhr</t>
  </si>
  <si>
    <t>10-11Uhr</t>
  </si>
  <si>
    <t>06-07Uhr</t>
  </si>
  <si>
    <t>12-13Uhr</t>
  </si>
  <si>
    <t>14-15Uhr</t>
  </si>
  <si>
    <t>16-17Uhr</t>
  </si>
  <si>
    <t>De</t>
  </si>
  <si>
    <t>Belg</t>
  </si>
  <si>
    <t>Swz</t>
  </si>
  <si>
    <t>Saldo</t>
  </si>
  <si>
    <t xml:space="preserve"> (Esp, It, GB)</t>
  </si>
  <si>
    <t>(Esp, It, GB)</t>
  </si>
  <si>
    <t>11-12Uhr</t>
  </si>
  <si>
    <t>17-18Uhr</t>
  </si>
  <si>
    <t>18-19Uhr</t>
  </si>
  <si>
    <t>19-20Uhr</t>
  </si>
  <si>
    <t>20-21Uhr</t>
  </si>
  <si>
    <t>21-22Uhr</t>
  </si>
  <si>
    <t>22-23Uhr</t>
  </si>
  <si>
    <t>23-00Uhr</t>
  </si>
  <si>
    <t>Lastprognose</t>
  </si>
  <si>
    <t>04-05Uhr</t>
  </si>
  <si>
    <t>13-14Uhr</t>
  </si>
  <si>
    <t>BEN_6.02.2012</t>
  </si>
  <si>
    <r>
      <rPr>
        <b/>
        <sz val="11"/>
        <color indexed="8"/>
        <rFont val="Calibri"/>
        <family val="2"/>
      </rPr>
      <t>Quelle:</t>
    </r>
    <r>
      <rPr>
        <sz val="11"/>
        <color indexed="8"/>
        <rFont val="Calibri"/>
        <family val="2"/>
      </rPr>
      <t xml:space="preserve"> </t>
    </r>
    <r>
      <rPr>
        <u/>
        <sz val="11"/>
        <color indexed="8"/>
        <rFont val="Calibri"/>
        <family val="2"/>
      </rPr>
      <t>http://entsoe.net</t>
    </r>
  </si>
  <si>
    <t>X-M</t>
  </si>
  <si>
    <t>15-16Uhr</t>
  </si>
  <si>
    <t>08-09Uhr</t>
  </si>
  <si>
    <t>Vormittag</t>
  </si>
  <si>
    <t>Nachmittag</t>
  </si>
  <si>
    <t xml:space="preserve">08-09Uhr </t>
  </si>
  <si>
    <t>Sonnenaufgang</t>
  </si>
  <si>
    <t>Sonnenuntergang</t>
  </si>
  <si>
    <t>Tag/nacht</t>
  </si>
  <si>
    <t>Dk, Pol, Cz, AT</t>
  </si>
  <si>
    <r>
      <t xml:space="preserve">X </t>
    </r>
    <r>
      <rPr>
        <sz val="11"/>
        <color indexed="8"/>
        <rFont val="Calibri"/>
        <family val="2"/>
      </rPr>
      <t>(Export)</t>
    </r>
  </si>
  <si>
    <r>
      <rPr>
        <i/>
        <sz val="11"/>
        <color indexed="8"/>
        <rFont val="Calibri"/>
        <family val="2"/>
      </rPr>
      <t>M</t>
    </r>
    <r>
      <rPr>
        <sz val="11"/>
        <color indexed="8"/>
        <rFont val="Calibri"/>
        <family val="2"/>
      </rPr>
      <t xml:space="preserve"> (Import)</t>
    </r>
  </si>
  <si>
    <t>Gesamt</t>
  </si>
  <si>
    <t>Fr/De</t>
  </si>
  <si>
    <t>De/Fr</t>
  </si>
  <si>
    <t>Kompatibilitätsbericht für Stromnetze3.xls</t>
  </si>
  <si>
    <t>Ausführen auf 07.02.2012 12:05</t>
  </si>
  <si>
    <t>Die folgenden Features in dieser Arbeitsmappe werden von früheren Excel-Versionen nicht unterstützt. Diese Features gehen beim Speichern dieser Arbeitsmappe in einem früheren Dateiformat möglicherweise verloren oder werden beschädigt.</t>
  </si>
  <si>
    <t>Geringer Genauigkeitsverlust</t>
  </si>
  <si>
    <t>Anzahl</t>
  </si>
  <si>
    <t>Einige Zellen oder Formatvorlagen in dieser Arbeitsmappe enthalten eine Formatierung, die vom ausgewählten Dateiformat nicht unterstützt wird. Diese Formate werden in das ähnlichste verfügbare Format konvertiert.</t>
  </si>
  <si>
    <t>GB</t>
  </si>
  <si>
    <t xml:space="preserve"> (Esp, It, )</t>
  </si>
  <si>
    <t xml:space="preserve"> (Esp, It)</t>
  </si>
  <si>
    <t>M</t>
  </si>
  <si>
    <t>X</t>
  </si>
</sst>
</file>

<file path=xl/styles.xml><?xml version="1.0" encoding="utf-8"?>
<styleSheet xmlns="http://schemas.openxmlformats.org/spreadsheetml/2006/main">
  <fonts count="14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u/>
      <sz val="11"/>
      <color indexed="8"/>
      <name val="Calibri"/>
      <family val="2"/>
    </font>
    <font>
      <sz val="11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u/>
      <sz val="11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5" fillId="0" borderId="1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Fill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4" borderId="1" xfId="0" applyFill="1" applyBorder="1" applyAlignment="1">
      <alignment horizontal="center"/>
    </xf>
    <xf numFmtId="1" fontId="0" fillId="0" borderId="7" xfId="0" applyNumberFormat="1" applyBorder="1"/>
    <xf numFmtId="14" fontId="6" fillId="0" borderId="1" xfId="0" applyNumberFormat="1" applyFont="1" applyBorder="1"/>
    <xf numFmtId="0" fontId="7" fillId="0" borderId="1" xfId="0" applyFont="1" applyBorder="1"/>
    <xf numFmtId="0" fontId="7" fillId="0" borderId="1" xfId="0" applyFont="1" applyBorder="1" applyAlignment="1">
      <alignment horizontal="justify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justify"/>
    </xf>
    <xf numFmtId="0" fontId="1" fillId="0" borderId="6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" fontId="0" fillId="0" borderId="12" xfId="0" applyNumberFormat="1" applyBorder="1"/>
    <xf numFmtId="14" fontId="1" fillId="0" borderId="1" xfId="0" applyNumberFormat="1" applyFont="1" applyBorder="1"/>
    <xf numFmtId="0" fontId="0" fillId="0" borderId="13" xfId="0" applyFill="1" applyBorder="1" applyAlignment="1">
      <alignment horizontal="right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9" xfId="0" applyFill="1" applyBorder="1"/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13" xfId="0" applyBorder="1" applyAlignment="1">
      <alignment horizontal="right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3" xfId="0" applyBorder="1"/>
    <xf numFmtId="0" fontId="7" fillId="0" borderId="2" xfId="0" applyFont="1" applyFill="1" applyBorder="1"/>
    <xf numFmtId="0" fontId="4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" xfId="0" applyFont="1" applyBorder="1"/>
    <xf numFmtId="0" fontId="1" fillId="0" borderId="13" xfId="0" applyFont="1" applyBorder="1"/>
    <xf numFmtId="0" fontId="1" fillId="0" borderId="13" xfId="0" applyFont="1" applyFill="1" applyBorder="1"/>
    <xf numFmtId="0" fontId="10" fillId="0" borderId="0" xfId="0" applyFont="1" applyFill="1" applyBorder="1" applyAlignment="1">
      <alignment horizontal="right"/>
    </xf>
    <xf numFmtId="0" fontId="0" fillId="0" borderId="19" xfId="0" applyBorder="1"/>
    <xf numFmtId="0" fontId="0" fillId="0" borderId="19" xfId="0" applyBorder="1" applyAlignment="1">
      <alignment horizontal="justify"/>
    </xf>
    <xf numFmtId="0" fontId="0" fillId="0" borderId="19" xfId="0" applyFill="1" applyBorder="1" applyAlignment="1">
      <alignment horizontal="justify"/>
    </xf>
    <xf numFmtId="0" fontId="0" fillId="0" borderId="19" xfId="0" applyFill="1" applyBorder="1"/>
    <xf numFmtId="0" fontId="7" fillId="0" borderId="19" xfId="0" applyFont="1" applyFill="1" applyBorder="1"/>
    <xf numFmtId="0" fontId="4" fillId="0" borderId="21" xfId="0" applyFont="1" applyFill="1" applyBorder="1" applyAlignment="1">
      <alignment horizontal="center"/>
    </xf>
    <xf numFmtId="0" fontId="7" fillId="0" borderId="19" xfId="0" applyFont="1" applyBorder="1"/>
    <xf numFmtId="0" fontId="7" fillId="0" borderId="0" xfId="0" applyFont="1" applyBorder="1"/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right"/>
    </xf>
    <xf numFmtId="0" fontId="0" fillId="0" borderId="22" xfId="0" applyBorder="1"/>
    <xf numFmtId="0" fontId="10" fillId="0" borderId="21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0" xfId="0" applyFill="1"/>
    <xf numFmtId="0" fontId="5" fillId="0" borderId="0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4" borderId="15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20" xfId="0" applyBorder="1"/>
    <xf numFmtId="0" fontId="0" fillId="0" borderId="18" xfId="0" applyBorder="1"/>
    <xf numFmtId="1" fontId="0" fillId="0" borderId="28" xfId="0" applyNumberFormat="1" applyBorder="1"/>
    <xf numFmtId="0" fontId="0" fillId="0" borderId="1" xfId="0" applyBorder="1" applyAlignment="1"/>
    <xf numFmtId="0" fontId="0" fillId="0" borderId="6" xfId="0" applyBorder="1" applyAlignment="1">
      <alignment horizontal="center"/>
    </xf>
    <xf numFmtId="0" fontId="0" fillId="0" borderId="19" xfId="0" applyBorder="1" applyAlignment="1"/>
    <xf numFmtId="0" fontId="12" fillId="0" borderId="21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" fillId="0" borderId="6" xfId="0" applyFont="1" applyBorder="1"/>
    <xf numFmtId="0" fontId="3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1" fillId="0" borderId="6" xfId="0" applyFont="1" applyFill="1" applyBorder="1"/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Border="1"/>
    <xf numFmtId="0" fontId="0" fillId="2" borderId="8" xfId="0" applyFill="1" applyBorder="1" applyAlignment="1">
      <alignment horizontal="center"/>
    </xf>
    <xf numFmtId="0" fontId="0" fillId="2" borderId="16" xfId="0" applyFill="1" applyBorder="1"/>
    <xf numFmtId="0" fontId="0" fillId="2" borderId="9" xfId="0" applyFill="1" applyBorder="1"/>
    <xf numFmtId="0" fontId="0" fillId="2" borderId="10" xfId="0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0" fillId="5" borderId="0" xfId="0" applyFill="1" applyBorder="1"/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/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6" borderId="6" xfId="0" applyFill="1" applyBorder="1"/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2" fillId="2" borderId="21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zoomScaleNormal="100" workbookViewId="0">
      <selection activeCell="L25" sqref="L25"/>
    </sheetView>
  </sheetViews>
  <sheetFormatPr baseColWidth="10" defaultRowHeight="15"/>
  <cols>
    <col min="1" max="1" width="10.140625" style="15" customWidth="1"/>
    <col min="2" max="4" width="6.5703125" customWidth="1"/>
    <col min="5" max="5" width="12.28515625" bestFit="1" customWidth="1"/>
    <col min="6" max="9" width="6.5703125" customWidth="1"/>
    <col min="10" max="10" width="11" customWidth="1"/>
    <col min="11" max="12" width="12.7109375" bestFit="1" customWidth="1"/>
    <col min="13" max="13" width="10.5703125" customWidth="1"/>
  </cols>
  <sheetData>
    <row r="1" spans="1:28">
      <c r="A1" s="15" t="s">
        <v>30</v>
      </c>
      <c r="C1" t="s">
        <v>31</v>
      </c>
    </row>
    <row r="2" spans="1:28">
      <c r="B2" s="6" t="s">
        <v>0</v>
      </c>
    </row>
    <row r="3" spans="1:28">
      <c r="A3" s="22">
        <v>40945</v>
      </c>
      <c r="B3" s="201" t="s">
        <v>42</v>
      </c>
      <c r="C3" s="202"/>
      <c r="D3" s="202"/>
      <c r="E3" s="202"/>
      <c r="F3" s="200" t="s">
        <v>43</v>
      </c>
      <c r="G3" s="200"/>
      <c r="H3" s="200"/>
      <c r="I3" s="205"/>
      <c r="J3" s="205"/>
      <c r="K3" s="3" t="s">
        <v>32</v>
      </c>
      <c r="L3" s="13"/>
      <c r="M3" s="1"/>
      <c r="O3" s="6" t="s">
        <v>0</v>
      </c>
    </row>
    <row r="4" spans="1:28">
      <c r="A4" s="23"/>
      <c r="B4" s="2" t="s">
        <v>13</v>
      </c>
      <c r="C4" s="2" t="s">
        <v>14</v>
      </c>
      <c r="D4" s="2" t="s">
        <v>15</v>
      </c>
      <c r="E4" s="3" t="s">
        <v>18</v>
      </c>
      <c r="F4" s="2" t="s">
        <v>13</v>
      </c>
      <c r="G4" s="2" t="s">
        <v>14</v>
      </c>
      <c r="H4" s="2" t="s">
        <v>15</v>
      </c>
      <c r="I4" s="101" t="s">
        <v>53</v>
      </c>
      <c r="J4" s="42" t="s">
        <v>54</v>
      </c>
      <c r="K4" s="7" t="s">
        <v>16</v>
      </c>
      <c r="L4" s="8" t="s">
        <v>27</v>
      </c>
      <c r="M4" s="13"/>
      <c r="N4" s="33">
        <v>40946</v>
      </c>
      <c r="O4" s="201" t="s">
        <v>42</v>
      </c>
      <c r="P4" s="202"/>
      <c r="Q4" s="202"/>
      <c r="R4" s="202"/>
      <c r="S4" s="2" t="s">
        <v>57</v>
      </c>
      <c r="T4" s="200" t="s">
        <v>43</v>
      </c>
      <c r="U4" s="200"/>
      <c r="V4" s="200"/>
      <c r="W4" s="200"/>
      <c r="X4" s="200"/>
      <c r="Y4" s="2" t="s">
        <v>56</v>
      </c>
      <c r="Z4" s="3" t="s">
        <v>32</v>
      </c>
      <c r="AA4" s="1"/>
      <c r="AB4" s="1"/>
    </row>
    <row r="5" spans="1:28">
      <c r="A5" s="23" t="s">
        <v>1</v>
      </c>
      <c r="B5" s="35">
        <v>280</v>
      </c>
      <c r="C5" s="36"/>
      <c r="D5" s="36">
        <v>273</v>
      </c>
      <c r="E5" s="36">
        <v>974</v>
      </c>
      <c r="F5" s="106"/>
      <c r="G5" s="106">
        <v>1062</v>
      </c>
      <c r="H5" s="106"/>
      <c r="I5" s="86">
        <v>1981</v>
      </c>
      <c r="J5" s="106">
        <f>932</f>
        <v>932</v>
      </c>
      <c r="K5" s="56">
        <f t="shared" ref="K5:K28" si="0">SUM(B5:E5)-SUM(F5:J5)</f>
        <v>-2448</v>
      </c>
      <c r="L5" s="43">
        <v>85200</v>
      </c>
      <c r="M5" s="1" t="s">
        <v>1</v>
      </c>
      <c r="N5" s="1"/>
      <c r="O5" s="6" t="s">
        <v>13</v>
      </c>
      <c r="P5" s="6" t="s">
        <v>14</v>
      </c>
      <c r="Q5" s="6" t="s">
        <v>15</v>
      </c>
      <c r="R5" s="120" t="s">
        <v>18</v>
      </c>
      <c r="S5" s="6" t="s">
        <v>44</v>
      </c>
      <c r="T5" s="6" t="s">
        <v>13</v>
      </c>
      <c r="U5" s="6" t="s">
        <v>14</v>
      </c>
      <c r="V5" s="6" t="s">
        <v>15</v>
      </c>
      <c r="W5" s="6" t="s">
        <v>53</v>
      </c>
      <c r="X5" s="120" t="s">
        <v>55</v>
      </c>
      <c r="Y5" s="6" t="s">
        <v>44</v>
      </c>
      <c r="Z5" s="7" t="s">
        <v>16</v>
      </c>
      <c r="AA5" s="8" t="s">
        <v>27</v>
      </c>
      <c r="AB5" s="1"/>
    </row>
    <row r="6" spans="1:28">
      <c r="A6" s="23" t="s">
        <v>2</v>
      </c>
      <c r="B6" s="37">
        <v>65</v>
      </c>
      <c r="C6" s="38"/>
      <c r="D6" s="38">
        <v>282</v>
      </c>
      <c r="E6" s="38">
        <v>633</v>
      </c>
      <c r="F6" s="103"/>
      <c r="G6" s="103">
        <v>1106</v>
      </c>
      <c r="H6" s="103"/>
      <c r="I6" s="86">
        <v>1989</v>
      </c>
      <c r="J6" s="103">
        <f>1117</f>
        <v>1117</v>
      </c>
      <c r="K6" s="55">
        <f t="shared" si="0"/>
        <v>-3232</v>
      </c>
      <c r="L6" s="44">
        <v>83000</v>
      </c>
      <c r="M6" s="1" t="s">
        <v>2</v>
      </c>
      <c r="N6" s="62" t="s">
        <v>1</v>
      </c>
      <c r="O6" s="35"/>
      <c r="P6" s="36"/>
      <c r="Q6" s="36">
        <v>550</v>
      </c>
      <c r="R6" s="36">
        <v>375</v>
      </c>
      <c r="S6" s="125">
        <f>SUM(O6:R6)</f>
        <v>925</v>
      </c>
      <c r="T6" s="108">
        <v>25</v>
      </c>
      <c r="U6" s="106">
        <v>888</v>
      </c>
      <c r="V6" s="106"/>
      <c r="W6" s="106">
        <v>1986</v>
      </c>
      <c r="X6" s="106">
        <f>995</f>
        <v>995</v>
      </c>
      <c r="Y6" s="131">
        <f>SUM(T6:X6)</f>
        <v>3894</v>
      </c>
      <c r="Z6" s="127">
        <f t="shared" ref="Z6:Z29" si="1">SUM(O6:R6)-SUM(T6:X6)</f>
        <v>-2969</v>
      </c>
      <c r="AA6" s="2">
        <v>86450</v>
      </c>
      <c r="AB6" s="1" t="s">
        <v>1</v>
      </c>
    </row>
    <row r="7" spans="1:28">
      <c r="A7" s="23" t="s">
        <v>3</v>
      </c>
      <c r="B7" s="37">
        <v>272</v>
      </c>
      <c r="C7" s="38"/>
      <c r="D7" s="38">
        <v>400</v>
      </c>
      <c r="E7" s="38">
        <v>644</v>
      </c>
      <c r="F7" s="103"/>
      <c r="G7" s="103">
        <v>1113</v>
      </c>
      <c r="H7" s="103"/>
      <c r="I7" s="86">
        <v>1989</v>
      </c>
      <c r="J7" s="103">
        <f>1096</f>
        <v>1096</v>
      </c>
      <c r="K7" s="55">
        <f t="shared" si="0"/>
        <v>-2882</v>
      </c>
      <c r="L7" s="44">
        <v>82050</v>
      </c>
      <c r="M7" s="1" t="s">
        <v>3</v>
      </c>
      <c r="N7" s="62" t="s">
        <v>2</v>
      </c>
      <c r="O7" s="37"/>
      <c r="P7" s="38"/>
      <c r="Q7" s="38">
        <v>499</v>
      </c>
      <c r="R7" s="38">
        <v>294</v>
      </c>
      <c r="S7" s="124">
        <f>SUM(O7:R7)</f>
        <v>793</v>
      </c>
      <c r="T7" s="110">
        <f>251</f>
        <v>251</v>
      </c>
      <c r="U7" s="103">
        <v>824</v>
      </c>
      <c r="V7" s="103"/>
      <c r="W7" s="103">
        <v>1985</v>
      </c>
      <c r="X7" s="103">
        <f>1116</f>
        <v>1116</v>
      </c>
      <c r="Y7" s="132">
        <f>SUM(T7:X7)</f>
        <v>4176</v>
      </c>
      <c r="Z7" s="127">
        <f t="shared" si="1"/>
        <v>-3383</v>
      </c>
      <c r="AA7" s="2">
        <v>84850</v>
      </c>
      <c r="AB7" s="1" t="s">
        <v>2</v>
      </c>
    </row>
    <row r="8" spans="1:28">
      <c r="A8" s="23" t="s">
        <v>4</v>
      </c>
      <c r="B8" s="37">
        <v>338</v>
      </c>
      <c r="C8" s="38"/>
      <c r="D8" s="38">
        <v>687</v>
      </c>
      <c r="E8" s="38">
        <v>732</v>
      </c>
      <c r="F8" s="103"/>
      <c r="G8" s="103">
        <v>1134</v>
      </c>
      <c r="H8" s="103"/>
      <c r="I8" s="86">
        <v>1838</v>
      </c>
      <c r="J8" s="103">
        <f>1112</f>
        <v>1112</v>
      </c>
      <c r="K8" s="55">
        <f t="shared" si="0"/>
        <v>-2327</v>
      </c>
      <c r="L8" s="44">
        <v>79950</v>
      </c>
      <c r="M8" s="1" t="s">
        <v>4</v>
      </c>
      <c r="N8" s="62" t="s">
        <v>3</v>
      </c>
      <c r="O8" s="37">
        <v>193</v>
      </c>
      <c r="P8" s="38"/>
      <c r="Q8" s="38">
        <v>605</v>
      </c>
      <c r="R8" s="38">
        <v>402</v>
      </c>
      <c r="S8" s="124">
        <f>SUM(O8:R8)</f>
        <v>1200</v>
      </c>
      <c r="T8" s="110"/>
      <c r="U8" s="103">
        <v>905</v>
      </c>
      <c r="V8" s="103"/>
      <c r="W8" s="103">
        <v>1988</v>
      </c>
      <c r="X8" s="103">
        <f>1109</f>
        <v>1109</v>
      </c>
      <c r="Y8" s="132">
        <f t="shared" ref="Y8:Y29" si="2">SUM(T8:X8)</f>
        <v>4002</v>
      </c>
      <c r="Z8" s="127">
        <f>SUM(O8:R8)-SUM(T8:X8)</f>
        <v>-2802</v>
      </c>
      <c r="AA8" s="2">
        <v>85650</v>
      </c>
      <c r="AB8" s="1" t="s">
        <v>3</v>
      </c>
    </row>
    <row r="9" spans="1:28">
      <c r="A9" s="23" t="s">
        <v>28</v>
      </c>
      <c r="B9" s="37">
        <v>100</v>
      </c>
      <c r="C9" s="38"/>
      <c r="D9" s="38">
        <v>608</v>
      </c>
      <c r="E9" s="38">
        <v>627</v>
      </c>
      <c r="F9" s="103"/>
      <c r="G9" s="103">
        <v>1124</v>
      </c>
      <c r="H9" s="103"/>
      <c r="I9" s="86">
        <v>1983</v>
      </c>
      <c r="J9" s="103">
        <f>1063</f>
        <v>1063</v>
      </c>
      <c r="K9" s="55">
        <f t="shared" si="0"/>
        <v>-2835</v>
      </c>
      <c r="L9" s="44">
        <v>78300</v>
      </c>
      <c r="M9" s="1" t="s">
        <v>28</v>
      </c>
      <c r="N9" s="62" t="s">
        <v>4</v>
      </c>
      <c r="O9" s="37">
        <v>35</v>
      </c>
      <c r="P9" s="38"/>
      <c r="Q9" s="38">
        <v>807</v>
      </c>
      <c r="R9" s="38">
        <v>508</v>
      </c>
      <c r="S9" s="124">
        <f t="shared" ref="S9:S29" si="3">SUM(O9:R9)</f>
        <v>1350</v>
      </c>
      <c r="T9" s="110"/>
      <c r="U9" s="103">
        <v>905</v>
      </c>
      <c r="V9" s="103"/>
      <c r="W9" s="103">
        <v>1989</v>
      </c>
      <c r="X9" s="103">
        <f>1107</f>
        <v>1107</v>
      </c>
      <c r="Y9" s="132">
        <f t="shared" si="2"/>
        <v>4001</v>
      </c>
      <c r="Z9" s="127">
        <f t="shared" si="1"/>
        <v>-2651</v>
      </c>
      <c r="AA9" s="2">
        <v>82300</v>
      </c>
      <c r="AB9" s="1" t="s">
        <v>4</v>
      </c>
    </row>
    <row r="10" spans="1:28">
      <c r="A10" s="23" t="s">
        <v>5</v>
      </c>
      <c r="B10" s="37"/>
      <c r="C10" s="38"/>
      <c r="D10" s="38">
        <v>489</v>
      </c>
      <c r="E10" s="38">
        <v>683</v>
      </c>
      <c r="F10" s="103">
        <v>77</v>
      </c>
      <c r="G10" s="103">
        <v>1299</v>
      </c>
      <c r="H10" s="103"/>
      <c r="I10" s="86">
        <v>1980</v>
      </c>
      <c r="J10" s="103">
        <f>1140</f>
        <v>1140</v>
      </c>
      <c r="K10" s="55">
        <f t="shared" si="0"/>
        <v>-3324</v>
      </c>
      <c r="L10" s="44">
        <v>80500</v>
      </c>
      <c r="M10" s="1" t="s">
        <v>5</v>
      </c>
      <c r="N10" s="62" t="s">
        <v>28</v>
      </c>
      <c r="O10" s="37">
        <v>55</v>
      </c>
      <c r="P10" s="38"/>
      <c r="Q10" s="38">
        <v>772</v>
      </c>
      <c r="R10" s="38">
        <v>454</v>
      </c>
      <c r="S10" s="124">
        <f t="shared" si="3"/>
        <v>1281</v>
      </c>
      <c r="T10" s="110"/>
      <c r="U10" s="103">
        <v>995</v>
      </c>
      <c r="V10" s="103"/>
      <c r="W10" s="103">
        <v>1989</v>
      </c>
      <c r="X10" s="103">
        <f>1120</f>
        <v>1120</v>
      </c>
      <c r="Y10" s="132">
        <f t="shared" si="2"/>
        <v>4104</v>
      </c>
      <c r="Z10" s="127">
        <f>SUM(O10:R10)-SUM(T10:X10)</f>
        <v>-2823</v>
      </c>
      <c r="AA10" s="2">
        <v>80300</v>
      </c>
      <c r="AB10" s="1" t="s">
        <v>28</v>
      </c>
    </row>
    <row r="11" spans="1:28">
      <c r="A11" s="23" t="s">
        <v>9</v>
      </c>
      <c r="B11" s="37"/>
      <c r="C11" s="38"/>
      <c r="D11" s="38"/>
      <c r="E11" s="38">
        <v>627</v>
      </c>
      <c r="F11" s="103">
        <v>235</v>
      </c>
      <c r="G11" s="103">
        <v>1687</v>
      </c>
      <c r="H11" s="103">
        <v>60</v>
      </c>
      <c r="I11" s="86">
        <v>1979</v>
      </c>
      <c r="J11" s="103">
        <f>1172</f>
        <v>1172</v>
      </c>
      <c r="K11" s="55">
        <f t="shared" si="0"/>
        <v>-4506</v>
      </c>
      <c r="L11" s="34">
        <v>85600</v>
      </c>
      <c r="M11" s="1" t="s">
        <v>9</v>
      </c>
      <c r="N11" s="62" t="s">
        <v>5</v>
      </c>
      <c r="O11" s="37"/>
      <c r="P11" s="38"/>
      <c r="Q11" s="38">
        <v>463</v>
      </c>
      <c r="R11" s="38">
        <v>207</v>
      </c>
      <c r="S11" s="124">
        <f t="shared" si="3"/>
        <v>670</v>
      </c>
      <c r="T11" s="110">
        <v>129</v>
      </c>
      <c r="U11" s="103">
        <v>1390</v>
      </c>
      <c r="V11" s="103"/>
      <c r="W11" s="103">
        <v>1989</v>
      </c>
      <c r="X11" s="103">
        <f>1099</f>
        <v>1099</v>
      </c>
      <c r="Y11" s="132">
        <f t="shared" si="2"/>
        <v>4607</v>
      </c>
      <c r="Z11" s="127">
        <f t="shared" si="1"/>
        <v>-3937</v>
      </c>
      <c r="AA11" s="2">
        <v>81350</v>
      </c>
      <c r="AB11" s="1" t="s">
        <v>5</v>
      </c>
    </row>
    <row r="12" spans="1:28">
      <c r="A12" s="23" t="s">
        <v>6</v>
      </c>
      <c r="B12" s="37"/>
      <c r="C12" s="38"/>
      <c r="D12" s="38"/>
      <c r="E12" s="38"/>
      <c r="F12" s="103">
        <v>342</v>
      </c>
      <c r="G12" s="103">
        <v>1817</v>
      </c>
      <c r="H12" s="103">
        <v>1285</v>
      </c>
      <c r="I12" s="86">
        <v>1979</v>
      </c>
      <c r="J12" s="103">
        <f>1012+28</f>
        <v>1040</v>
      </c>
      <c r="K12" s="55">
        <f t="shared" si="0"/>
        <v>-6463</v>
      </c>
      <c r="L12" s="34">
        <v>91750</v>
      </c>
      <c r="M12" s="62" t="s">
        <v>6</v>
      </c>
      <c r="N12" s="62" t="s">
        <v>9</v>
      </c>
      <c r="O12" s="37"/>
      <c r="P12" s="38"/>
      <c r="Q12" s="38"/>
      <c r="R12" s="38"/>
      <c r="S12" s="124">
        <f t="shared" si="3"/>
        <v>0</v>
      </c>
      <c r="T12" s="110">
        <v>323</v>
      </c>
      <c r="U12" s="103">
        <v>1490</v>
      </c>
      <c r="V12" s="103">
        <v>395</v>
      </c>
      <c r="W12" s="103">
        <v>1989</v>
      </c>
      <c r="X12" s="103">
        <f>1149+147</f>
        <v>1296</v>
      </c>
      <c r="Y12" s="132">
        <f t="shared" si="2"/>
        <v>5493</v>
      </c>
      <c r="Z12" s="127">
        <f t="shared" si="1"/>
        <v>-5493</v>
      </c>
      <c r="AA12" s="8">
        <v>86150</v>
      </c>
      <c r="AB12" s="1" t="s">
        <v>9</v>
      </c>
    </row>
    <row r="13" spans="1:28">
      <c r="A13" s="24" t="s">
        <v>34</v>
      </c>
      <c r="B13" s="37"/>
      <c r="C13" s="38"/>
      <c r="D13" s="38"/>
      <c r="E13" s="38">
        <f>6</f>
        <v>6</v>
      </c>
      <c r="F13" s="103">
        <f>236</f>
        <v>236</v>
      </c>
      <c r="G13" s="103">
        <v>2237</v>
      </c>
      <c r="H13" s="103">
        <v>1158</v>
      </c>
      <c r="I13" s="86">
        <v>1499</v>
      </c>
      <c r="J13" s="103">
        <f>1028</f>
        <v>1028</v>
      </c>
      <c r="K13" s="55">
        <f t="shared" si="0"/>
        <v>-6152</v>
      </c>
      <c r="L13" s="34">
        <v>94800</v>
      </c>
      <c r="M13" s="63" t="s">
        <v>37</v>
      </c>
      <c r="N13" s="62" t="s">
        <v>6</v>
      </c>
      <c r="O13" s="37"/>
      <c r="P13" s="38"/>
      <c r="Q13" s="38"/>
      <c r="R13" s="38"/>
      <c r="S13" s="124">
        <f t="shared" si="3"/>
        <v>0</v>
      </c>
      <c r="T13" s="110">
        <v>413</v>
      </c>
      <c r="U13" s="103">
        <v>1331</v>
      </c>
      <c r="V13" s="103">
        <v>579</v>
      </c>
      <c r="W13" s="103">
        <v>1989</v>
      </c>
      <c r="X13" s="103">
        <f>939+373</f>
        <v>1312</v>
      </c>
      <c r="Y13" s="132">
        <f t="shared" si="2"/>
        <v>5624</v>
      </c>
      <c r="Z13" s="127">
        <f t="shared" si="1"/>
        <v>-5624</v>
      </c>
      <c r="AA13" s="2">
        <v>93100</v>
      </c>
      <c r="AB13" s="1" t="s">
        <v>6</v>
      </c>
    </row>
    <row r="14" spans="1:28">
      <c r="A14" s="23" t="s">
        <v>7</v>
      </c>
      <c r="B14" s="37"/>
      <c r="C14" s="38"/>
      <c r="D14" s="38"/>
      <c r="E14" s="38"/>
      <c r="F14" s="103">
        <v>549</v>
      </c>
      <c r="G14" s="103">
        <v>1970</v>
      </c>
      <c r="H14" s="103">
        <v>1508</v>
      </c>
      <c r="I14" s="86">
        <v>1494</v>
      </c>
      <c r="J14" s="103">
        <f>348+982</f>
        <v>1330</v>
      </c>
      <c r="K14" s="55">
        <f t="shared" si="0"/>
        <v>-6851</v>
      </c>
      <c r="L14" s="34">
        <v>95800</v>
      </c>
      <c r="M14" s="1" t="s">
        <v>7</v>
      </c>
      <c r="N14" s="62" t="s">
        <v>34</v>
      </c>
      <c r="O14" s="37"/>
      <c r="P14" s="38"/>
      <c r="Q14" s="38"/>
      <c r="R14" s="38"/>
      <c r="S14" s="124">
        <f t="shared" si="3"/>
        <v>0</v>
      </c>
      <c r="T14" s="110">
        <v>329</v>
      </c>
      <c r="U14" s="103">
        <v>1351</v>
      </c>
      <c r="V14" s="103">
        <v>830</v>
      </c>
      <c r="W14" s="103">
        <v>1989</v>
      </c>
      <c r="X14" s="103">
        <f>1060+678</f>
        <v>1738</v>
      </c>
      <c r="Y14" s="132">
        <f t="shared" si="2"/>
        <v>6237</v>
      </c>
      <c r="Z14" s="127">
        <f t="shared" si="1"/>
        <v>-6237</v>
      </c>
      <c r="AA14" s="2">
        <v>96600</v>
      </c>
      <c r="AB14" s="1" t="s">
        <v>34</v>
      </c>
    </row>
    <row r="15" spans="1:28">
      <c r="A15" s="23" t="s">
        <v>8</v>
      </c>
      <c r="B15" s="37"/>
      <c r="C15" s="38"/>
      <c r="D15" s="38"/>
      <c r="E15" s="38"/>
      <c r="F15" s="103">
        <v>579</v>
      </c>
      <c r="G15" s="103">
        <v>1821</v>
      </c>
      <c r="H15" s="103">
        <v>1327</v>
      </c>
      <c r="I15" s="86">
        <v>1494</v>
      </c>
      <c r="J15" s="103">
        <f>1039+181</f>
        <v>1220</v>
      </c>
      <c r="K15" s="55">
        <f t="shared" si="0"/>
        <v>-6441</v>
      </c>
      <c r="L15" s="34">
        <v>95750</v>
      </c>
      <c r="M15" s="1" t="s">
        <v>8</v>
      </c>
      <c r="N15" s="62" t="s">
        <v>7</v>
      </c>
      <c r="O15" s="37"/>
      <c r="P15" s="38"/>
      <c r="Q15" s="38"/>
      <c r="R15" s="38"/>
      <c r="S15" s="124">
        <f t="shared" si="3"/>
        <v>0</v>
      </c>
      <c r="T15" s="110">
        <v>739</v>
      </c>
      <c r="U15" s="103">
        <v>1559</v>
      </c>
      <c r="V15" s="103">
        <v>1325</v>
      </c>
      <c r="W15" s="103">
        <v>1989</v>
      </c>
      <c r="X15" s="103">
        <f>1083+674</f>
        <v>1757</v>
      </c>
      <c r="Y15" s="132">
        <f t="shared" si="2"/>
        <v>7369</v>
      </c>
      <c r="Z15" s="127">
        <f t="shared" si="1"/>
        <v>-7369</v>
      </c>
      <c r="AA15" s="2">
        <v>96850</v>
      </c>
      <c r="AB15" s="1" t="s">
        <v>7</v>
      </c>
    </row>
    <row r="16" spans="1:28" s="12" customFormat="1" ht="15.75" thickBot="1">
      <c r="A16" s="23" t="s">
        <v>19</v>
      </c>
      <c r="B16" s="37"/>
      <c r="C16" s="38"/>
      <c r="D16" s="38"/>
      <c r="E16" s="38">
        <v>82</v>
      </c>
      <c r="F16" s="103">
        <v>566</v>
      </c>
      <c r="G16" s="103">
        <v>1796</v>
      </c>
      <c r="H16" s="103">
        <v>964</v>
      </c>
      <c r="I16" s="86">
        <v>1494</v>
      </c>
      <c r="J16" s="103">
        <f>1065</f>
        <v>1065</v>
      </c>
      <c r="K16" s="55">
        <f t="shared" si="0"/>
        <v>-5803</v>
      </c>
      <c r="L16" s="34">
        <v>95450</v>
      </c>
      <c r="M16" s="1" t="s">
        <v>19</v>
      </c>
      <c r="N16" s="62" t="s">
        <v>8</v>
      </c>
      <c r="O16" s="37">
        <v>34</v>
      </c>
      <c r="P16" s="38"/>
      <c r="Q16" s="38"/>
      <c r="R16" s="38"/>
      <c r="S16" s="124">
        <f t="shared" si="3"/>
        <v>34</v>
      </c>
      <c r="T16" s="110"/>
      <c r="U16" s="103">
        <v>1241</v>
      </c>
      <c r="V16" s="103">
        <v>820</v>
      </c>
      <c r="W16" s="103">
        <v>1989</v>
      </c>
      <c r="X16" s="103">
        <f>322+1037</f>
        <v>1359</v>
      </c>
      <c r="Y16" s="132">
        <f t="shared" si="2"/>
        <v>5409</v>
      </c>
      <c r="Z16" s="127">
        <f t="shared" si="1"/>
        <v>-5375</v>
      </c>
      <c r="AA16" s="2">
        <v>97050</v>
      </c>
      <c r="AB16" s="1" t="s">
        <v>8</v>
      </c>
    </row>
    <row r="17" spans="1:28" ht="15.75" thickTop="1">
      <c r="A17" s="23" t="s">
        <v>10</v>
      </c>
      <c r="B17" s="37"/>
      <c r="C17" s="38"/>
      <c r="D17" s="38"/>
      <c r="E17" s="38"/>
      <c r="F17" s="103">
        <v>941</v>
      </c>
      <c r="G17" s="103">
        <v>1886</v>
      </c>
      <c r="H17" s="103">
        <v>1253</v>
      </c>
      <c r="I17" s="86">
        <v>1494</v>
      </c>
      <c r="J17" s="103">
        <f>1003+332</f>
        <v>1335</v>
      </c>
      <c r="K17" s="55">
        <f t="shared" si="0"/>
        <v>-6909</v>
      </c>
      <c r="L17" s="34">
        <v>95000</v>
      </c>
      <c r="M17" s="1" t="s">
        <v>10</v>
      </c>
      <c r="N17" s="62" t="s">
        <v>19</v>
      </c>
      <c r="O17" s="37">
        <v>56</v>
      </c>
      <c r="P17" s="38"/>
      <c r="Q17" s="38"/>
      <c r="R17" s="38"/>
      <c r="S17" s="124">
        <f t="shared" si="3"/>
        <v>56</v>
      </c>
      <c r="T17" s="110"/>
      <c r="U17" s="103">
        <v>1207</v>
      </c>
      <c r="V17" s="103">
        <v>746</v>
      </c>
      <c r="W17" s="103">
        <v>1989</v>
      </c>
      <c r="X17" s="103">
        <f>1057+288</f>
        <v>1345</v>
      </c>
      <c r="Y17" s="132">
        <f t="shared" si="2"/>
        <v>5287</v>
      </c>
      <c r="Z17" s="127">
        <f t="shared" si="1"/>
        <v>-5231</v>
      </c>
      <c r="AA17" s="2">
        <v>96850</v>
      </c>
      <c r="AB17" s="1" t="s">
        <v>19</v>
      </c>
    </row>
    <row r="18" spans="1:28">
      <c r="A18" s="23" t="s">
        <v>29</v>
      </c>
      <c r="B18" s="37"/>
      <c r="C18" s="38"/>
      <c r="D18" s="38"/>
      <c r="E18" s="38"/>
      <c r="F18" s="103">
        <v>945</v>
      </c>
      <c r="G18" s="103">
        <v>1719</v>
      </c>
      <c r="H18" s="103">
        <v>1262</v>
      </c>
      <c r="I18" s="102">
        <v>1494</v>
      </c>
      <c r="J18" s="103">
        <f>1036+296</f>
        <v>1332</v>
      </c>
      <c r="K18" s="55">
        <f t="shared" si="0"/>
        <v>-6752</v>
      </c>
      <c r="L18" s="34">
        <v>94600</v>
      </c>
      <c r="M18" s="1" t="s">
        <v>29</v>
      </c>
      <c r="N18" s="62" t="s">
        <v>10</v>
      </c>
      <c r="O18" s="37">
        <v>496</v>
      </c>
      <c r="P18" s="38"/>
      <c r="Q18" s="38"/>
      <c r="R18" s="38"/>
      <c r="S18" s="124">
        <f t="shared" si="3"/>
        <v>496</v>
      </c>
      <c r="T18" s="110">
        <v>208</v>
      </c>
      <c r="U18" s="103">
        <v>1443</v>
      </c>
      <c r="V18" s="103">
        <v>768</v>
      </c>
      <c r="W18" s="103">
        <v>1989</v>
      </c>
      <c r="X18" s="103">
        <f>1015+218</f>
        <v>1233</v>
      </c>
      <c r="Y18" s="132">
        <f t="shared" si="2"/>
        <v>5641</v>
      </c>
      <c r="Z18" s="127">
        <f t="shared" si="1"/>
        <v>-5145</v>
      </c>
      <c r="AA18" s="2">
        <v>96200</v>
      </c>
      <c r="AB18" s="1" t="s">
        <v>10</v>
      </c>
    </row>
    <row r="19" spans="1:28">
      <c r="A19" s="23" t="s">
        <v>11</v>
      </c>
      <c r="B19" s="37"/>
      <c r="C19" s="38"/>
      <c r="D19" s="38"/>
      <c r="E19" s="38"/>
      <c r="F19" s="103">
        <v>540</v>
      </c>
      <c r="G19" s="103">
        <v>1547</v>
      </c>
      <c r="H19" s="103">
        <v>860</v>
      </c>
      <c r="I19" s="102">
        <v>1489</v>
      </c>
      <c r="J19" s="103">
        <f>125+1039</f>
        <v>1164</v>
      </c>
      <c r="K19" s="55">
        <f t="shared" si="0"/>
        <v>-5600</v>
      </c>
      <c r="L19" s="34">
        <v>92350</v>
      </c>
      <c r="M19" s="62" t="s">
        <v>11</v>
      </c>
      <c r="N19" s="62" t="s">
        <v>29</v>
      </c>
      <c r="O19" s="37">
        <v>382</v>
      </c>
      <c r="P19" s="38"/>
      <c r="Q19" s="38"/>
      <c r="R19" s="38">
        <v>9</v>
      </c>
      <c r="S19" s="124">
        <f t="shared" si="3"/>
        <v>391</v>
      </c>
      <c r="T19" s="110"/>
      <c r="U19" s="103">
        <v>1209</v>
      </c>
      <c r="V19" s="103">
        <v>555</v>
      </c>
      <c r="W19" s="103">
        <v>1989</v>
      </c>
      <c r="X19" s="103">
        <f>1084</f>
        <v>1084</v>
      </c>
      <c r="Y19" s="132">
        <f t="shared" si="2"/>
        <v>4837</v>
      </c>
      <c r="Z19" s="127">
        <f>SUM(O19:R19)-SUM(T19:X19)</f>
        <v>-4446</v>
      </c>
      <c r="AA19" s="119">
        <v>95350</v>
      </c>
      <c r="AB19" s="1" t="s">
        <v>29</v>
      </c>
    </row>
    <row r="20" spans="1:28">
      <c r="A20" s="23" t="s">
        <v>33</v>
      </c>
      <c r="B20" s="37">
        <v>44</v>
      </c>
      <c r="C20" s="38"/>
      <c r="D20" s="38"/>
      <c r="E20" s="38">
        <v>195</v>
      </c>
      <c r="F20" s="103"/>
      <c r="G20" s="103">
        <v>1314</v>
      </c>
      <c r="H20" s="103">
        <v>366</v>
      </c>
      <c r="I20" s="102">
        <v>1489</v>
      </c>
      <c r="J20" s="103">
        <f>1058</f>
        <v>1058</v>
      </c>
      <c r="K20" s="55">
        <f t="shared" si="0"/>
        <v>-3988</v>
      </c>
      <c r="L20" s="34">
        <v>89050</v>
      </c>
      <c r="M20" s="62" t="s">
        <v>33</v>
      </c>
      <c r="N20" s="62" t="s">
        <v>11</v>
      </c>
      <c r="O20" s="37"/>
      <c r="P20" s="38"/>
      <c r="Q20" s="38"/>
      <c r="R20" s="38"/>
      <c r="S20" s="124">
        <f t="shared" si="3"/>
        <v>0</v>
      </c>
      <c r="T20" s="110"/>
      <c r="U20" s="103">
        <v>1256</v>
      </c>
      <c r="V20" s="103">
        <v>579</v>
      </c>
      <c r="W20" s="103">
        <v>1987</v>
      </c>
      <c r="X20" s="103">
        <f>1069+77</f>
        <v>1146</v>
      </c>
      <c r="Y20" s="132">
        <f t="shared" si="2"/>
        <v>4968</v>
      </c>
      <c r="Z20" s="127">
        <f>SUM(O20:R20)-SUM(T20:X20)</f>
        <v>-4968</v>
      </c>
      <c r="AA20" s="8">
        <v>93750</v>
      </c>
      <c r="AB20" s="1" t="s">
        <v>11</v>
      </c>
    </row>
    <row r="21" spans="1:28">
      <c r="A21" s="23" t="s">
        <v>12</v>
      </c>
      <c r="B21" s="37">
        <v>707</v>
      </c>
      <c r="C21" s="38"/>
      <c r="D21" s="38"/>
      <c r="E21" s="38">
        <v>409</v>
      </c>
      <c r="F21" s="103"/>
      <c r="G21" s="103">
        <v>1141</v>
      </c>
      <c r="H21" s="103">
        <v>28</v>
      </c>
      <c r="I21" s="102">
        <v>1489</v>
      </c>
      <c r="J21" s="103">
        <f>992</f>
        <v>992</v>
      </c>
      <c r="K21" s="55">
        <f t="shared" si="0"/>
        <v>-2534</v>
      </c>
      <c r="L21" s="44">
        <v>87800</v>
      </c>
      <c r="M21" s="1" t="s">
        <v>12</v>
      </c>
      <c r="N21" s="62" t="s">
        <v>33</v>
      </c>
      <c r="O21" s="37">
        <v>817</v>
      </c>
      <c r="P21" s="38"/>
      <c r="Q21" s="38"/>
      <c r="R21" s="38">
        <v>260</v>
      </c>
      <c r="S21" s="124">
        <f t="shared" si="3"/>
        <v>1077</v>
      </c>
      <c r="T21" s="110"/>
      <c r="U21" s="103">
        <v>1349</v>
      </c>
      <c r="V21" s="103">
        <v>202</v>
      </c>
      <c r="W21" s="103">
        <v>1980</v>
      </c>
      <c r="X21" s="103">
        <f>1058</f>
        <v>1058</v>
      </c>
      <c r="Y21" s="132">
        <f t="shared" si="2"/>
        <v>4589</v>
      </c>
      <c r="Z21" s="127">
        <f t="shared" si="1"/>
        <v>-3512</v>
      </c>
      <c r="AA21" s="2">
        <v>90700</v>
      </c>
      <c r="AB21" s="1" t="s">
        <v>33</v>
      </c>
    </row>
    <row r="22" spans="1:28">
      <c r="A22" s="25" t="s">
        <v>20</v>
      </c>
      <c r="B22" s="37">
        <v>1219</v>
      </c>
      <c r="C22" s="38"/>
      <c r="D22" s="38">
        <v>21</v>
      </c>
      <c r="E22" s="38"/>
      <c r="F22" s="103"/>
      <c r="G22" s="103">
        <v>889</v>
      </c>
      <c r="H22" s="103"/>
      <c r="I22" s="102">
        <v>1236</v>
      </c>
      <c r="J22" s="103">
        <f>1030</f>
        <v>1030</v>
      </c>
      <c r="K22" s="55">
        <f t="shared" si="0"/>
        <v>-1915</v>
      </c>
      <c r="L22" s="44">
        <v>88700</v>
      </c>
      <c r="M22" s="9" t="s">
        <v>20</v>
      </c>
      <c r="N22" s="62" t="s">
        <v>12</v>
      </c>
      <c r="O22" s="37">
        <v>909</v>
      </c>
      <c r="P22" s="38"/>
      <c r="Q22" s="38">
        <v>386</v>
      </c>
      <c r="R22" s="38">
        <v>444</v>
      </c>
      <c r="S22" s="124">
        <f t="shared" si="3"/>
        <v>1739</v>
      </c>
      <c r="T22" s="110"/>
      <c r="U22" s="103">
        <v>1301</v>
      </c>
      <c r="V22" s="103"/>
      <c r="W22" s="103">
        <v>1978</v>
      </c>
      <c r="X22" s="103">
        <f>1014</f>
        <v>1014</v>
      </c>
      <c r="Y22" s="132">
        <f t="shared" si="2"/>
        <v>4293</v>
      </c>
      <c r="Z22" s="127">
        <f t="shared" si="1"/>
        <v>-2554</v>
      </c>
      <c r="AA22" s="2">
        <v>89200</v>
      </c>
      <c r="AB22" s="1" t="s">
        <v>12</v>
      </c>
    </row>
    <row r="23" spans="1:28">
      <c r="A23" s="26" t="s">
        <v>21</v>
      </c>
      <c r="B23" s="37">
        <v>33</v>
      </c>
      <c r="C23" s="38"/>
      <c r="D23" s="38"/>
      <c r="E23" s="38"/>
      <c r="F23" s="103"/>
      <c r="G23" s="103">
        <v>1270</v>
      </c>
      <c r="H23" s="103">
        <v>1264</v>
      </c>
      <c r="I23" s="102">
        <v>1197</v>
      </c>
      <c r="J23" s="103">
        <f>267+902</f>
        <v>1169</v>
      </c>
      <c r="K23" s="55">
        <f t="shared" si="0"/>
        <v>-4867</v>
      </c>
      <c r="L23" s="44">
        <v>93850</v>
      </c>
      <c r="M23" s="64" t="s">
        <v>21</v>
      </c>
      <c r="N23" s="65" t="s">
        <v>20</v>
      </c>
      <c r="O23" s="37">
        <v>1176</v>
      </c>
      <c r="P23" s="38"/>
      <c r="Q23" s="38">
        <v>228</v>
      </c>
      <c r="R23" s="38">
        <v>433</v>
      </c>
      <c r="S23" s="124">
        <f t="shared" si="3"/>
        <v>1837</v>
      </c>
      <c r="T23" s="110"/>
      <c r="U23" s="103">
        <v>1180</v>
      </c>
      <c r="V23" s="103"/>
      <c r="W23" s="103">
        <v>1890</v>
      </c>
      <c r="X23" s="103">
        <f>979</f>
        <v>979</v>
      </c>
      <c r="Y23" s="132">
        <f t="shared" si="2"/>
        <v>4049</v>
      </c>
      <c r="Z23" s="127">
        <f t="shared" si="1"/>
        <v>-2212</v>
      </c>
      <c r="AA23" s="2">
        <v>90400</v>
      </c>
      <c r="AB23" s="9" t="s">
        <v>20</v>
      </c>
    </row>
    <row r="24" spans="1:28">
      <c r="A24" s="25" t="s">
        <v>22</v>
      </c>
      <c r="B24" s="37"/>
      <c r="C24" s="38"/>
      <c r="D24" s="38"/>
      <c r="E24" s="38">
        <v>90</v>
      </c>
      <c r="F24" s="103">
        <v>137</v>
      </c>
      <c r="G24" s="103">
        <v>1808</v>
      </c>
      <c r="H24" s="103">
        <v>1002</v>
      </c>
      <c r="I24" s="102">
        <v>1482</v>
      </c>
      <c r="J24" s="103">
        <f>849</f>
        <v>849</v>
      </c>
      <c r="K24" s="55">
        <f t="shared" si="0"/>
        <v>-5188</v>
      </c>
      <c r="L24" s="44">
        <v>97250</v>
      </c>
      <c r="M24" s="65" t="s">
        <v>22</v>
      </c>
      <c r="N24" s="65" t="s">
        <v>21</v>
      </c>
      <c r="O24" s="37"/>
      <c r="P24" s="38"/>
      <c r="Q24" s="38"/>
      <c r="R24" s="38"/>
      <c r="S24" s="124">
        <f t="shared" si="3"/>
        <v>0</v>
      </c>
      <c r="T24" s="110">
        <v>513</v>
      </c>
      <c r="U24" s="103">
        <v>1968</v>
      </c>
      <c r="V24" s="103">
        <v>1127</v>
      </c>
      <c r="W24" s="103">
        <v>1792</v>
      </c>
      <c r="X24" s="103">
        <f>990+694</f>
        <v>1684</v>
      </c>
      <c r="Y24" s="132">
        <f t="shared" si="2"/>
        <v>7084</v>
      </c>
      <c r="Z24" s="127">
        <f t="shared" si="1"/>
        <v>-7084</v>
      </c>
      <c r="AA24" s="2">
        <v>95950</v>
      </c>
      <c r="AB24" s="9" t="s">
        <v>21</v>
      </c>
    </row>
    <row r="25" spans="1:28">
      <c r="A25" s="25" t="s">
        <v>23</v>
      </c>
      <c r="B25" s="37">
        <v>155</v>
      </c>
      <c r="C25" s="38"/>
      <c r="D25" s="38"/>
      <c r="E25" s="38">
        <v>82</v>
      </c>
      <c r="F25" s="103"/>
      <c r="G25" s="103">
        <v>1565</v>
      </c>
      <c r="H25" s="103">
        <v>738</v>
      </c>
      <c r="I25" s="103">
        <v>1482</v>
      </c>
      <c r="J25" s="103">
        <f>821</f>
        <v>821</v>
      </c>
      <c r="K25" s="55">
        <f t="shared" si="0"/>
        <v>-4369</v>
      </c>
      <c r="L25" s="44">
        <v>93600</v>
      </c>
      <c r="M25" s="9" t="s">
        <v>23</v>
      </c>
      <c r="N25" s="65" t="s">
        <v>22</v>
      </c>
      <c r="O25" s="37"/>
      <c r="P25" s="38"/>
      <c r="Q25" s="38"/>
      <c r="R25" s="38"/>
      <c r="S25" s="124">
        <f t="shared" si="3"/>
        <v>0</v>
      </c>
      <c r="T25" s="110">
        <v>335</v>
      </c>
      <c r="U25" s="103">
        <v>2163</v>
      </c>
      <c r="V25" s="103">
        <v>959</v>
      </c>
      <c r="W25" s="103">
        <v>1795</v>
      </c>
      <c r="X25" s="103">
        <f>929+308</f>
        <v>1237</v>
      </c>
      <c r="Y25" s="132">
        <f t="shared" si="2"/>
        <v>6489</v>
      </c>
      <c r="Z25" s="127">
        <f t="shared" si="1"/>
        <v>-6489</v>
      </c>
      <c r="AA25" s="2">
        <v>99500</v>
      </c>
      <c r="AB25" s="9" t="s">
        <v>22</v>
      </c>
    </row>
    <row r="26" spans="1:28">
      <c r="A26" s="25" t="s">
        <v>24</v>
      </c>
      <c r="B26" s="37">
        <v>116</v>
      </c>
      <c r="C26" s="38"/>
      <c r="D26" s="38"/>
      <c r="E26" s="38">
        <v>16</v>
      </c>
      <c r="F26" s="103"/>
      <c r="G26" s="103">
        <v>702</v>
      </c>
      <c r="H26" s="103">
        <v>576</v>
      </c>
      <c r="I26" s="102">
        <v>1483</v>
      </c>
      <c r="J26" s="103">
        <f>894</f>
        <v>894</v>
      </c>
      <c r="K26" s="55">
        <f t="shared" si="0"/>
        <v>-3523</v>
      </c>
      <c r="L26" s="44">
        <v>89650</v>
      </c>
      <c r="M26" s="9" t="s">
        <v>24</v>
      </c>
      <c r="N26" s="65" t="s">
        <v>23</v>
      </c>
      <c r="O26" s="37"/>
      <c r="P26" s="38"/>
      <c r="Q26" s="38"/>
      <c r="R26" s="38">
        <v>308</v>
      </c>
      <c r="S26" s="124">
        <f t="shared" si="3"/>
        <v>308</v>
      </c>
      <c r="T26" s="110">
        <v>87</v>
      </c>
      <c r="U26" s="103">
        <v>1753</v>
      </c>
      <c r="V26" s="103">
        <v>62</v>
      </c>
      <c r="W26" s="103">
        <v>1984</v>
      </c>
      <c r="X26" s="103">
        <f>1025</f>
        <v>1025</v>
      </c>
      <c r="Y26" s="132">
        <f t="shared" si="2"/>
        <v>4911</v>
      </c>
      <c r="Z26" s="127">
        <f t="shared" si="1"/>
        <v>-4603</v>
      </c>
      <c r="AA26" s="2">
        <v>96100</v>
      </c>
      <c r="AB26" s="9" t="s">
        <v>23</v>
      </c>
    </row>
    <row r="27" spans="1:28">
      <c r="A27" s="25" t="s">
        <v>25</v>
      </c>
      <c r="B27" s="37"/>
      <c r="C27" s="38"/>
      <c r="D27" s="38"/>
      <c r="E27" s="38"/>
      <c r="F27" s="103">
        <v>370</v>
      </c>
      <c r="G27" s="103">
        <v>992</v>
      </c>
      <c r="H27" s="103">
        <v>785</v>
      </c>
      <c r="I27" s="102">
        <v>1491</v>
      </c>
      <c r="J27" s="103">
        <f>1026+13</f>
        <v>1039</v>
      </c>
      <c r="K27" s="55">
        <f t="shared" si="0"/>
        <v>-4677</v>
      </c>
      <c r="L27" s="44">
        <v>87000</v>
      </c>
      <c r="M27" s="9" t="s">
        <v>25</v>
      </c>
      <c r="N27" s="65" t="s">
        <v>24</v>
      </c>
      <c r="O27" s="37"/>
      <c r="P27" s="38"/>
      <c r="Q27" s="38">
        <v>106</v>
      </c>
      <c r="R27" s="38">
        <v>393</v>
      </c>
      <c r="S27" s="124">
        <f t="shared" si="3"/>
        <v>499</v>
      </c>
      <c r="T27" s="110">
        <v>63</v>
      </c>
      <c r="U27" s="103">
        <v>1277</v>
      </c>
      <c r="V27" s="103"/>
      <c r="W27" s="103">
        <v>1983</v>
      </c>
      <c r="X27" s="103">
        <f>1025</f>
        <v>1025</v>
      </c>
      <c r="Y27" s="132">
        <f t="shared" si="2"/>
        <v>4348</v>
      </c>
      <c r="Z27" s="127">
        <f t="shared" si="1"/>
        <v>-3849</v>
      </c>
      <c r="AA27" s="2">
        <v>91850</v>
      </c>
      <c r="AB27" s="9" t="s">
        <v>24</v>
      </c>
    </row>
    <row r="28" spans="1:28">
      <c r="A28" s="25" t="s">
        <v>26</v>
      </c>
      <c r="B28" s="40"/>
      <c r="C28" s="41"/>
      <c r="D28" s="41"/>
      <c r="E28" s="41"/>
      <c r="F28" s="107">
        <v>618</v>
      </c>
      <c r="G28" s="107">
        <v>944</v>
      </c>
      <c r="H28" s="107">
        <v>999</v>
      </c>
      <c r="I28" s="102">
        <v>1489</v>
      </c>
      <c r="J28" s="107">
        <f>1004+458</f>
        <v>1462</v>
      </c>
      <c r="K28" s="57">
        <f t="shared" si="0"/>
        <v>-5512</v>
      </c>
      <c r="L28" s="44">
        <v>88950</v>
      </c>
      <c r="M28" s="9" t="s">
        <v>26</v>
      </c>
      <c r="N28" s="65" t="s">
        <v>25</v>
      </c>
      <c r="O28" s="37"/>
      <c r="P28" s="38"/>
      <c r="Q28" s="38"/>
      <c r="R28" s="38">
        <v>397</v>
      </c>
      <c r="S28" s="124">
        <f t="shared" si="3"/>
        <v>397</v>
      </c>
      <c r="T28" s="110">
        <v>316</v>
      </c>
      <c r="U28" s="103">
        <v>1153</v>
      </c>
      <c r="V28" s="103">
        <v>152</v>
      </c>
      <c r="W28" s="103">
        <v>1987</v>
      </c>
      <c r="X28" s="103">
        <f>1014</f>
        <v>1014</v>
      </c>
      <c r="Y28" s="132">
        <f t="shared" si="2"/>
        <v>4622</v>
      </c>
      <c r="Z28" s="127">
        <f t="shared" si="1"/>
        <v>-4225</v>
      </c>
      <c r="AA28" s="2">
        <v>89250</v>
      </c>
      <c r="AB28" s="9" t="s">
        <v>25</v>
      </c>
    </row>
    <row r="29" spans="1:28">
      <c r="A29" s="68" t="s">
        <v>44</v>
      </c>
      <c r="B29" s="72">
        <f t="shared" ref="B29:K29" si="4">SUM(B5:B28)</f>
        <v>3329</v>
      </c>
      <c r="C29" s="70">
        <f t="shared" si="4"/>
        <v>0</v>
      </c>
      <c r="D29" s="70">
        <f t="shared" si="4"/>
        <v>2760</v>
      </c>
      <c r="E29" s="70">
        <f t="shared" si="4"/>
        <v>5800</v>
      </c>
      <c r="F29" s="74">
        <f t="shared" si="4"/>
        <v>6135</v>
      </c>
      <c r="G29" s="71">
        <f t="shared" si="4"/>
        <v>33943</v>
      </c>
      <c r="H29" s="71">
        <f t="shared" si="4"/>
        <v>15435</v>
      </c>
      <c r="I29" s="71"/>
      <c r="J29" s="71">
        <f t="shared" si="4"/>
        <v>26460</v>
      </c>
      <c r="K29" s="75">
        <f t="shared" si="4"/>
        <v>-109098</v>
      </c>
      <c r="L29" s="81" t="s">
        <v>45</v>
      </c>
      <c r="N29" s="65" t="s">
        <v>26</v>
      </c>
      <c r="O29" s="40"/>
      <c r="P29" s="41"/>
      <c r="Q29" s="41"/>
      <c r="R29" s="41">
        <v>51</v>
      </c>
      <c r="S29" s="126">
        <f t="shared" si="3"/>
        <v>51</v>
      </c>
      <c r="T29" s="133">
        <v>320</v>
      </c>
      <c r="U29" s="107">
        <v>1489</v>
      </c>
      <c r="V29" s="107">
        <v>137</v>
      </c>
      <c r="W29" s="107">
        <v>1985</v>
      </c>
      <c r="X29" s="107">
        <f>1016</f>
        <v>1016</v>
      </c>
      <c r="Y29" s="134">
        <f t="shared" si="2"/>
        <v>4947</v>
      </c>
      <c r="Z29" s="127">
        <f t="shared" si="1"/>
        <v>-4896</v>
      </c>
      <c r="AA29" s="2">
        <v>90900</v>
      </c>
      <c r="AB29" s="9" t="s">
        <v>26</v>
      </c>
    </row>
    <row r="30" spans="1:28" ht="15.75" thickBot="1">
      <c r="A30" s="69"/>
      <c r="B30" s="4"/>
      <c r="C30" s="4"/>
      <c r="D30" s="4"/>
      <c r="E30" s="4"/>
      <c r="F30" s="5"/>
      <c r="G30" s="5"/>
      <c r="H30" s="5"/>
      <c r="I30" s="5"/>
      <c r="J30" s="5"/>
      <c r="K30" s="61"/>
      <c r="L30" s="76">
        <f>0-(F29-B29)</f>
        <v>-2806</v>
      </c>
      <c r="N30" s="68" t="s">
        <v>44</v>
      </c>
      <c r="O30" s="121">
        <f t="shared" ref="O30:Z30" si="5">SUM(O6:O29)</f>
        <v>4153</v>
      </c>
      <c r="P30" s="122">
        <f t="shared" si="5"/>
        <v>0</v>
      </c>
      <c r="Q30" s="122">
        <f t="shared" si="5"/>
        <v>4416</v>
      </c>
      <c r="R30" s="122">
        <f t="shared" si="5"/>
        <v>4535</v>
      </c>
      <c r="S30" s="123">
        <f t="shared" si="5"/>
        <v>13104</v>
      </c>
      <c r="T30" s="128">
        <f t="shared" si="5"/>
        <v>4051</v>
      </c>
      <c r="U30" s="129">
        <f t="shared" si="5"/>
        <v>31627</v>
      </c>
      <c r="V30" s="129">
        <f t="shared" si="5"/>
        <v>9236</v>
      </c>
      <c r="W30" s="129">
        <f>SUM(W6:W29)</f>
        <v>47199</v>
      </c>
      <c r="X30" s="129">
        <f t="shared" si="5"/>
        <v>28868</v>
      </c>
      <c r="Y30" s="130">
        <f>SUM(Y6:Y29)</f>
        <v>120981</v>
      </c>
      <c r="Z30" s="75">
        <f t="shared" si="5"/>
        <v>-107877</v>
      </c>
      <c r="AA30" s="81" t="s">
        <v>45</v>
      </c>
    </row>
    <row r="31" spans="1:28" ht="15.75" thickBot="1">
      <c r="B31" s="2" t="s">
        <v>13</v>
      </c>
      <c r="J31" s="5"/>
      <c r="N31" s="69"/>
      <c r="O31" s="82"/>
      <c r="P31" s="83"/>
      <c r="Q31" s="83"/>
      <c r="R31" s="83"/>
      <c r="S31" s="83"/>
      <c r="T31" s="84"/>
      <c r="U31" s="85"/>
      <c r="V31" s="85"/>
      <c r="W31" s="85"/>
      <c r="X31" s="85"/>
      <c r="Y31" s="85"/>
      <c r="Z31" s="61"/>
      <c r="AA31" s="76">
        <f>0-(T30-O30)</f>
        <v>102</v>
      </c>
    </row>
    <row r="32" spans="1:28">
      <c r="A32" s="22">
        <v>40945</v>
      </c>
      <c r="B32" s="201" t="s">
        <v>42</v>
      </c>
      <c r="C32" s="202"/>
      <c r="D32" s="202"/>
      <c r="E32" s="202"/>
      <c r="F32" s="205" t="s">
        <v>43</v>
      </c>
      <c r="G32" s="206"/>
      <c r="H32" s="206"/>
      <c r="I32" s="207"/>
      <c r="J32" s="3" t="s">
        <v>32</v>
      </c>
      <c r="L32" s="4"/>
      <c r="M32" s="4"/>
    </row>
    <row r="33" spans="1:28">
      <c r="A33" s="23"/>
      <c r="B33" s="8" t="s">
        <v>0</v>
      </c>
      <c r="C33" s="2" t="s">
        <v>14</v>
      </c>
      <c r="D33" s="2" t="s">
        <v>15</v>
      </c>
      <c r="E33" s="14" t="s">
        <v>41</v>
      </c>
      <c r="F33" s="8" t="s">
        <v>0</v>
      </c>
      <c r="G33" s="2" t="s">
        <v>14</v>
      </c>
      <c r="H33" s="2" t="s">
        <v>15</v>
      </c>
      <c r="I33" s="14" t="s">
        <v>41</v>
      </c>
      <c r="J33" s="7" t="s">
        <v>16</v>
      </c>
      <c r="K33" s="8" t="s">
        <v>27</v>
      </c>
      <c r="L33" s="113"/>
      <c r="M33" s="4"/>
      <c r="N33" s="69"/>
      <c r="O33" s="2" t="s">
        <v>13</v>
      </c>
      <c r="P33" s="4"/>
      <c r="Q33" s="4"/>
      <c r="R33" s="4"/>
      <c r="S33" s="4"/>
      <c r="T33" s="5"/>
      <c r="U33" s="5"/>
      <c r="V33" s="5"/>
      <c r="W33" s="5"/>
      <c r="X33" s="5"/>
      <c r="Y33" s="5"/>
      <c r="Z33" s="61"/>
    </row>
    <row r="34" spans="1:28">
      <c r="A34" s="23" t="s">
        <v>1</v>
      </c>
      <c r="B34" s="45"/>
      <c r="C34" s="46"/>
      <c r="D34" s="46">
        <v>2050</v>
      </c>
      <c r="E34" s="47">
        <f>1821+488</f>
        <v>2309</v>
      </c>
      <c r="F34" s="108">
        <v>280</v>
      </c>
      <c r="G34" s="106"/>
      <c r="H34" s="106"/>
      <c r="I34" s="109">
        <f>917+587+1014</f>
        <v>2518</v>
      </c>
      <c r="J34" s="58">
        <f t="shared" ref="J34:J57" si="6">SUM(B34:E34)-SUM(F34:I34)</f>
        <v>1561</v>
      </c>
      <c r="K34" s="28">
        <v>37356</v>
      </c>
      <c r="L34" s="112" t="s">
        <v>1</v>
      </c>
      <c r="N34" s="33">
        <v>40946</v>
      </c>
      <c r="O34" s="3" t="s">
        <v>42</v>
      </c>
      <c r="P34" s="115"/>
      <c r="Q34" s="115"/>
      <c r="R34" s="115"/>
      <c r="S34" s="101" t="s">
        <v>57</v>
      </c>
      <c r="T34" s="101" t="s">
        <v>43</v>
      </c>
      <c r="U34" s="70"/>
      <c r="V34" s="70"/>
      <c r="W34" s="116"/>
      <c r="X34" s="3" t="s">
        <v>56</v>
      </c>
      <c r="Y34" s="3" t="s">
        <v>32</v>
      </c>
      <c r="Z34" s="1"/>
      <c r="AA34" s="1"/>
    </row>
    <row r="35" spans="1:28">
      <c r="A35" s="23" t="s">
        <v>2</v>
      </c>
      <c r="B35" s="48"/>
      <c r="C35" s="49"/>
      <c r="D35" s="49">
        <v>2000</v>
      </c>
      <c r="E35" s="50">
        <f>1933+363</f>
        <v>2296</v>
      </c>
      <c r="F35" s="110">
        <v>65</v>
      </c>
      <c r="G35" s="103"/>
      <c r="H35" s="103"/>
      <c r="I35" s="111">
        <f>587+1034+1933</f>
        <v>3554</v>
      </c>
      <c r="J35" s="59">
        <f t="shared" si="6"/>
        <v>677</v>
      </c>
      <c r="K35" s="29">
        <v>35728</v>
      </c>
      <c r="L35" s="1" t="s">
        <v>2</v>
      </c>
      <c r="N35" s="1"/>
      <c r="O35" s="135" t="s">
        <v>0</v>
      </c>
      <c r="P35" s="6" t="s">
        <v>14</v>
      </c>
      <c r="Q35" s="6" t="s">
        <v>15</v>
      </c>
      <c r="R35" s="136" t="s">
        <v>41</v>
      </c>
      <c r="S35" s="137" t="s">
        <v>44</v>
      </c>
      <c r="T35" s="135" t="s">
        <v>0</v>
      </c>
      <c r="U35" s="6" t="s">
        <v>14</v>
      </c>
      <c r="V35" s="6" t="s">
        <v>15</v>
      </c>
      <c r="W35" s="136" t="s">
        <v>41</v>
      </c>
      <c r="X35" s="2" t="s">
        <v>44</v>
      </c>
      <c r="Y35" s="7" t="s">
        <v>16</v>
      </c>
      <c r="Z35" s="8" t="s">
        <v>27</v>
      </c>
      <c r="AA35" s="1"/>
    </row>
    <row r="36" spans="1:28">
      <c r="A36" s="23" t="s">
        <v>3</v>
      </c>
      <c r="B36" s="48"/>
      <c r="C36" s="49"/>
      <c r="D36" s="49">
        <v>2236</v>
      </c>
      <c r="E36" s="50">
        <f>2152+392</f>
        <v>2544</v>
      </c>
      <c r="F36" s="110">
        <v>272</v>
      </c>
      <c r="G36" s="103"/>
      <c r="H36" s="103"/>
      <c r="I36" s="111">
        <f>779+579+1057</f>
        <v>2415</v>
      </c>
      <c r="J36" s="59">
        <f t="shared" si="6"/>
        <v>2093</v>
      </c>
      <c r="K36" s="29">
        <v>34435</v>
      </c>
      <c r="L36" s="1" t="s">
        <v>3</v>
      </c>
      <c r="N36" s="62" t="s">
        <v>1</v>
      </c>
      <c r="O36" s="45">
        <v>25</v>
      </c>
      <c r="P36" s="46"/>
      <c r="Q36" s="46">
        <v>2241</v>
      </c>
      <c r="R36" s="46">
        <f>1886+309</f>
        <v>2195</v>
      </c>
      <c r="S36" s="125">
        <f>SUM(O36:R36)</f>
        <v>4461</v>
      </c>
      <c r="T36" s="108"/>
      <c r="U36" s="106"/>
      <c r="V36" s="106"/>
      <c r="W36" s="109">
        <f>588+1375+801</f>
        <v>2764</v>
      </c>
      <c r="X36" s="142">
        <f t="shared" ref="X36:X59" si="7">SUM(T36:W36)</f>
        <v>2764</v>
      </c>
      <c r="Y36" s="88">
        <f t="shared" ref="Y36:Y59" si="8">SUM(O36:R36)-SUM(T36:W36)</f>
        <v>1697</v>
      </c>
      <c r="Z36" s="2">
        <v>42531</v>
      </c>
      <c r="AA36" s="1" t="s">
        <v>1</v>
      </c>
    </row>
    <row r="37" spans="1:28">
      <c r="A37" s="23" t="s">
        <v>4</v>
      </c>
      <c r="B37" s="48"/>
      <c r="C37" s="49"/>
      <c r="D37" s="49">
        <v>2347</v>
      </c>
      <c r="E37" s="50">
        <f>2035+392</f>
        <v>2427</v>
      </c>
      <c r="F37" s="110">
        <v>338</v>
      </c>
      <c r="G37" s="103"/>
      <c r="H37" s="103"/>
      <c r="I37" s="111">
        <f>750+586+1048</f>
        <v>2384</v>
      </c>
      <c r="J37" s="59">
        <f t="shared" si="6"/>
        <v>2052</v>
      </c>
      <c r="K37" s="29">
        <v>34403</v>
      </c>
      <c r="L37" s="1" t="s">
        <v>4</v>
      </c>
      <c r="N37" s="62" t="s">
        <v>2</v>
      </c>
      <c r="O37" s="48">
        <v>251</v>
      </c>
      <c r="P37" s="49"/>
      <c r="Q37" s="49">
        <v>2381</v>
      </c>
      <c r="R37" s="49">
        <f>1727+207</f>
        <v>1934</v>
      </c>
      <c r="S37" s="124">
        <f>SUM(O37:R37)</f>
        <v>4566</v>
      </c>
      <c r="T37" s="110"/>
      <c r="U37" s="103"/>
      <c r="V37" s="103"/>
      <c r="W37" s="111">
        <f>46+588+1360</f>
        <v>1994</v>
      </c>
      <c r="X37" s="142">
        <f t="shared" si="7"/>
        <v>1994</v>
      </c>
      <c r="Y37" s="88">
        <f t="shared" si="8"/>
        <v>2572</v>
      </c>
      <c r="Z37" s="2">
        <v>40220</v>
      </c>
      <c r="AA37" s="1" t="s">
        <v>2</v>
      </c>
    </row>
    <row r="38" spans="1:28">
      <c r="A38" s="23" t="s">
        <v>28</v>
      </c>
      <c r="B38" s="48"/>
      <c r="C38" s="49"/>
      <c r="D38" s="49">
        <v>2496</v>
      </c>
      <c r="E38" s="50">
        <f>581+2246</f>
        <v>2827</v>
      </c>
      <c r="F38" s="110">
        <v>100</v>
      </c>
      <c r="G38" s="103"/>
      <c r="H38" s="103"/>
      <c r="I38" s="111">
        <f>572+1049+407</f>
        <v>2028</v>
      </c>
      <c r="J38" s="59">
        <f t="shared" si="6"/>
        <v>3195</v>
      </c>
      <c r="K38" s="29">
        <v>38220</v>
      </c>
      <c r="L38" s="1" t="s">
        <v>28</v>
      </c>
      <c r="N38" s="62" t="s">
        <v>3</v>
      </c>
      <c r="O38" s="48"/>
      <c r="P38" s="49"/>
      <c r="Q38" s="49">
        <v>2460</v>
      </c>
      <c r="R38" s="49">
        <f>320+1769</f>
        <v>2089</v>
      </c>
      <c r="S38" s="124">
        <f t="shared" ref="S38:S59" si="9">SUM(O38:R38)</f>
        <v>4549</v>
      </c>
      <c r="T38" s="110">
        <v>193</v>
      </c>
      <c r="U38" s="103"/>
      <c r="V38" s="103"/>
      <c r="W38" s="111">
        <f>1380+588+772</f>
        <v>2740</v>
      </c>
      <c r="X38" s="142">
        <f t="shared" si="7"/>
        <v>2933</v>
      </c>
      <c r="Y38" s="88">
        <f t="shared" si="8"/>
        <v>1616</v>
      </c>
      <c r="Z38" s="2">
        <v>38907</v>
      </c>
      <c r="AA38" s="1" t="s">
        <v>3</v>
      </c>
    </row>
    <row r="39" spans="1:28">
      <c r="A39" s="23" t="s">
        <v>5</v>
      </c>
      <c r="B39" s="48">
        <v>77</v>
      </c>
      <c r="C39" s="49"/>
      <c r="D39" s="49">
        <v>2410</v>
      </c>
      <c r="E39" s="50">
        <f>2228+558+724</f>
        <v>3510</v>
      </c>
      <c r="F39" s="110"/>
      <c r="G39" s="103"/>
      <c r="H39" s="103"/>
      <c r="I39" s="111">
        <v>1336</v>
      </c>
      <c r="J39" s="59">
        <f t="shared" si="6"/>
        <v>4661</v>
      </c>
      <c r="K39" s="29">
        <v>35506</v>
      </c>
      <c r="L39" s="1" t="s">
        <v>5</v>
      </c>
      <c r="N39" s="62" t="s">
        <v>4</v>
      </c>
      <c r="O39" s="48"/>
      <c r="P39" s="49"/>
      <c r="Q39" s="49">
        <v>2566</v>
      </c>
      <c r="R39" s="49">
        <f>1808+300</f>
        <v>2108</v>
      </c>
      <c r="S39" s="124">
        <f t="shared" si="9"/>
        <v>4674</v>
      </c>
      <c r="T39" s="110">
        <v>35</v>
      </c>
      <c r="U39" s="103"/>
      <c r="V39" s="103"/>
      <c r="W39" s="111">
        <f>1378+583+830</f>
        <v>2791</v>
      </c>
      <c r="X39" s="142">
        <f t="shared" si="7"/>
        <v>2826</v>
      </c>
      <c r="Y39" s="88">
        <f t="shared" si="8"/>
        <v>1848</v>
      </c>
      <c r="Z39" s="2">
        <v>38227</v>
      </c>
      <c r="AA39" s="1" t="s">
        <v>4</v>
      </c>
    </row>
    <row r="40" spans="1:28">
      <c r="A40" s="23" t="s">
        <v>9</v>
      </c>
      <c r="B40" s="48">
        <v>235</v>
      </c>
      <c r="C40" s="49"/>
      <c r="D40" s="49">
        <v>1831</v>
      </c>
      <c r="E40" s="50">
        <f>1567+566+673</f>
        <v>2806</v>
      </c>
      <c r="F40" s="110"/>
      <c r="G40" s="103"/>
      <c r="H40" s="103"/>
      <c r="I40" s="111">
        <f>56+1076</f>
        <v>1132</v>
      </c>
      <c r="J40" s="59">
        <f t="shared" si="6"/>
        <v>3740</v>
      </c>
      <c r="K40" s="29">
        <v>44652</v>
      </c>
      <c r="L40" s="1" t="s">
        <v>9</v>
      </c>
      <c r="N40" s="62" t="s">
        <v>28</v>
      </c>
      <c r="O40" s="48"/>
      <c r="P40" s="49"/>
      <c r="Q40" s="49">
        <v>2447</v>
      </c>
      <c r="R40" s="49">
        <f>1910+303</f>
        <v>2213</v>
      </c>
      <c r="S40" s="124">
        <f t="shared" si="9"/>
        <v>4660</v>
      </c>
      <c r="T40" s="110">
        <v>55</v>
      </c>
      <c r="U40" s="103"/>
      <c r="V40" s="103"/>
      <c r="W40" s="111">
        <f>686+366+1375</f>
        <v>2427</v>
      </c>
      <c r="X40" s="142">
        <f t="shared" si="7"/>
        <v>2482</v>
      </c>
      <c r="Y40" s="88">
        <f t="shared" si="8"/>
        <v>2178</v>
      </c>
      <c r="Z40" s="2">
        <v>38573</v>
      </c>
      <c r="AA40" s="1" t="s">
        <v>28</v>
      </c>
    </row>
    <row r="41" spans="1:28">
      <c r="A41" s="23" t="s">
        <v>6</v>
      </c>
      <c r="B41" s="48">
        <v>342</v>
      </c>
      <c r="C41" s="49"/>
      <c r="D41" s="49">
        <v>1645</v>
      </c>
      <c r="E41" s="50">
        <f>864+314+427+15</f>
        <v>1620</v>
      </c>
      <c r="F41" s="110"/>
      <c r="G41" s="103"/>
      <c r="H41" s="103"/>
      <c r="I41" s="111">
        <v>525</v>
      </c>
      <c r="J41" s="59">
        <f t="shared" si="6"/>
        <v>3082</v>
      </c>
      <c r="K41" s="39">
        <v>50846</v>
      </c>
      <c r="L41" s="62" t="s">
        <v>6</v>
      </c>
      <c r="M41" s="52"/>
      <c r="N41" s="62" t="s">
        <v>5</v>
      </c>
      <c r="O41" s="48">
        <v>129</v>
      </c>
      <c r="P41" s="49"/>
      <c r="Q41" s="49">
        <v>2316</v>
      </c>
      <c r="R41" s="49">
        <f>1700+431</f>
        <v>2131</v>
      </c>
      <c r="S41" s="124">
        <f t="shared" si="9"/>
        <v>4576</v>
      </c>
      <c r="T41" s="110"/>
      <c r="U41" s="103"/>
      <c r="V41" s="103"/>
      <c r="W41" s="111">
        <f>635+98+1161</f>
        <v>1894</v>
      </c>
      <c r="X41" s="142">
        <f t="shared" si="7"/>
        <v>1894</v>
      </c>
      <c r="Y41" s="88">
        <f t="shared" si="8"/>
        <v>2682</v>
      </c>
      <c r="Z41" s="119">
        <v>40879</v>
      </c>
      <c r="AA41" s="1" t="s">
        <v>5</v>
      </c>
    </row>
    <row r="42" spans="1:28">
      <c r="A42" s="24" t="s">
        <v>34</v>
      </c>
      <c r="B42" s="48">
        <v>236</v>
      </c>
      <c r="C42" s="49"/>
      <c r="D42" s="49">
        <v>1730</v>
      </c>
      <c r="E42" s="50">
        <f>638+828+115</f>
        <v>1581</v>
      </c>
      <c r="F42" s="110"/>
      <c r="G42" s="103"/>
      <c r="H42" s="103"/>
      <c r="I42" s="111">
        <v>486</v>
      </c>
      <c r="J42" s="60">
        <f t="shared" si="6"/>
        <v>3061</v>
      </c>
      <c r="K42" s="39">
        <v>52425</v>
      </c>
      <c r="L42" s="63" t="s">
        <v>34</v>
      </c>
      <c r="M42" s="52"/>
      <c r="N42" s="62" t="s">
        <v>9</v>
      </c>
      <c r="O42" s="48">
        <v>323</v>
      </c>
      <c r="P42" s="49"/>
      <c r="Q42" s="49">
        <v>2227</v>
      </c>
      <c r="R42" s="49">
        <f>1996+620+1517</f>
        <v>4133</v>
      </c>
      <c r="S42" s="124">
        <f t="shared" si="9"/>
        <v>6683</v>
      </c>
      <c r="T42" s="110"/>
      <c r="U42" s="103"/>
      <c r="V42" s="103"/>
      <c r="W42" s="111">
        <f>880+307</f>
        <v>1187</v>
      </c>
      <c r="X42" s="142">
        <f t="shared" si="7"/>
        <v>1187</v>
      </c>
      <c r="Y42" s="88">
        <f t="shared" si="8"/>
        <v>5496</v>
      </c>
      <c r="Z42" s="2">
        <v>46110</v>
      </c>
      <c r="AA42" s="1" t="s">
        <v>9</v>
      </c>
    </row>
    <row r="43" spans="1:28" ht="15.75" thickBot="1">
      <c r="A43" s="23" t="s">
        <v>7</v>
      </c>
      <c r="B43" s="48">
        <v>549</v>
      </c>
      <c r="C43" s="49"/>
      <c r="D43" s="49">
        <v>1772</v>
      </c>
      <c r="E43" s="50">
        <f>703+264+856</f>
        <v>1823</v>
      </c>
      <c r="F43" s="110"/>
      <c r="G43" s="103"/>
      <c r="H43" s="103"/>
      <c r="I43" s="111">
        <f>553+148</f>
        <v>701</v>
      </c>
      <c r="J43" s="59">
        <f t="shared" si="6"/>
        <v>3443</v>
      </c>
      <c r="K43" s="39">
        <v>52982</v>
      </c>
      <c r="L43" s="1" t="s">
        <v>7</v>
      </c>
      <c r="N43" s="62" t="s">
        <v>6</v>
      </c>
      <c r="O43" s="48">
        <v>413</v>
      </c>
      <c r="P43" s="49"/>
      <c r="Q43" s="49">
        <v>1728</v>
      </c>
      <c r="R43" s="49">
        <f>759+764</f>
        <v>1523</v>
      </c>
      <c r="S43" s="124">
        <f t="shared" si="9"/>
        <v>3664</v>
      </c>
      <c r="T43" s="110"/>
      <c r="U43" s="103"/>
      <c r="V43" s="103"/>
      <c r="W43" s="111">
        <f>44+238+335</f>
        <v>617</v>
      </c>
      <c r="X43" s="142">
        <f t="shared" si="7"/>
        <v>617</v>
      </c>
      <c r="Y43" s="88">
        <f t="shared" si="8"/>
        <v>3047</v>
      </c>
      <c r="Z43" s="2">
        <v>51148</v>
      </c>
      <c r="AA43" s="1" t="s">
        <v>6</v>
      </c>
    </row>
    <row r="44" spans="1:28">
      <c r="A44" s="23" t="s">
        <v>8</v>
      </c>
      <c r="B44" s="48">
        <v>579</v>
      </c>
      <c r="C44" s="49"/>
      <c r="D44" s="49">
        <v>1748</v>
      </c>
      <c r="E44" s="51">
        <f>1215+974</f>
        <v>2189</v>
      </c>
      <c r="F44" s="110"/>
      <c r="G44" s="103"/>
      <c r="H44" s="103"/>
      <c r="I44" s="111">
        <f>114+436+584</f>
        <v>1134</v>
      </c>
      <c r="J44" s="59">
        <f t="shared" si="6"/>
        <v>3382</v>
      </c>
      <c r="K44" s="39">
        <v>52278</v>
      </c>
      <c r="L44" s="62" t="s">
        <v>8</v>
      </c>
      <c r="M44" s="104"/>
      <c r="N44" s="62" t="s">
        <v>34</v>
      </c>
      <c r="O44" s="48">
        <v>329</v>
      </c>
      <c r="P44" s="49"/>
      <c r="Q44" s="49">
        <v>1421</v>
      </c>
      <c r="R44" s="49">
        <f>879+22+285</f>
        <v>1186</v>
      </c>
      <c r="S44" s="124">
        <f t="shared" si="9"/>
        <v>2936</v>
      </c>
      <c r="T44" s="110"/>
      <c r="U44" s="103"/>
      <c r="V44" s="103"/>
      <c r="W44" s="111">
        <f>189+379</f>
        <v>568</v>
      </c>
      <c r="X44" s="142">
        <f t="shared" si="7"/>
        <v>568</v>
      </c>
      <c r="Y44" s="89">
        <f t="shared" si="8"/>
        <v>2368</v>
      </c>
      <c r="Z44" s="2">
        <v>52635</v>
      </c>
      <c r="AA44" s="1" t="s">
        <v>34</v>
      </c>
    </row>
    <row r="45" spans="1:28" s="12" customFormat="1" ht="15.75" thickBot="1">
      <c r="A45" s="23" t="s">
        <v>19</v>
      </c>
      <c r="B45" s="48">
        <v>566</v>
      </c>
      <c r="C45" s="49"/>
      <c r="D45" s="38">
        <v>1596</v>
      </c>
      <c r="E45" s="50">
        <f>1387+1032</f>
        <v>2419</v>
      </c>
      <c r="F45" s="110"/>
      <c r="G45" s="103"/>
      <c r="H45" s="103"/>
      <c r="I45" s="111">
        <f>560+514+52</f>
        <v>1126</v>
      </c>
      <c r="J45" s="59">
        <f t="shared" si="6"/>
        <v>3455</v>
      </c>
      <c r="K45" s="39">
        <v>54070</v>
      </c>
      <c r="L45" s="62" t="s">
        <v>19</v>
      </c>
      <c r="M45" s="105"/>
      <c r="N45" s="62" t="s">
        <v>7</v>
      </c>
      <c r="O45" s="48">
        <v>739</v>
      </c>
      <c r="P45" s="49"/>
      <c r="Q45" s="49">
        <v>1610</v>
      </c>
      <c r="R45" s="49">
        <f>1129+586</f>
        <v>1715</v>
      </c>
      <c r="S45" s="124">
        <f t="shared" si="9"/>
        <v>4064</v>
      </c>
      <c r="T45" s="110"/>
      <c r="U45" s="103"/>
      <c r="V45" s="103"/>
      <c r="W45" s="111">
        <f>606+235+174</f>
        <v>1015</v>
      </c>
      <c r="X45" s="142">
        <f t="shared" si="7"/>
        <v>1015</v>
      </c>
      <c r="Y45" s="88">
        <f t="shared" si="8"/>
        <v>3049</v>
      </c>
      <c r="Z45" s="2">
        <v>52240</v>
      </c>
      <c r="AA45" s="1" t="s">
        <v>7</v>
      </c>
      <c r="AB45"/>
    </row>
    <row r="46" spans="1:28">
      <c r="A46" s="23" t="s">
        <v>10</v>
      </c>
      <c r="B46" s="48">
        <v>941</v>
      </c>
      <c r="C46" s="49"/>
      <c r="D46" s="49">
        <v>1506</v>
      </c>
      <c r="E46" s="50">
        <f>1072+1261</f>
        <v>2333</v>
      </c>
      <c r="F46" s="110"/>
      <c r="G46" s="103"/>
      <c r="H46" s="103"/>
      <c r="I46" s="111">
        <f>639+425</f>
        <v>1064</v>
      </c>
      <c r="J46" s="59">
        <f t="shared" si="6"/>
        <v>3716</v>
      </c>
      <c r="K46" s="29">
        <v>54099</v>
      </c>
      <c r="L46" s="1" t="s">
        <v>10</v>
      </c>
      <c r="N46" s="62" t="s">
        <v>8</v>
      </c>
      <c r="O46" s="48"/>
      <c r="P46" s="49"/>
      <c r="Q46" s="49">
        <v>1131</v>
      </c>
      <c r="R46" s="49">
        <f>191+1093+391+603</f>
        <v>2278</v>
      </c>
      <c r="S46" s="124">
        <f t="shared" si="9"/>
        <v>3409</v>
      </c>
      <c r="T46" s="110">
        <v>34</v>
      </c>
      <c r="U46" s="103"/>
      <c r="V46" s="103"/>
      <c r="W46" s="111">
        <f>802</f>
        <v>802</v>
      </c>
      <c r="X46" s="142">
        <f t="shared" si="7"/>
        <v>836</v>
      </c>
      <c r="Y46" s="88">
        <f t="shared" si="8"/>
        <v>2573</v>
      </c>
      <c r="Z46" s="2">
        <v>50971</v>
      </c>
      <c r="AA46" s="1" t="s">
        <v>8</v>
      </c>
    </row>
    <row r="47" spans="1:28">
      <c r="A47" s="23" t="s">
        <v>29</v>
      </c>
      <c r="B47" s="48">
        <v>945</v>
      </c>
      <c r="C47" s="49"/>
      <c r="D47" s="49">
        <v>1641</v>
      </c>
      <c r="E47" s="50">
        <f>1311+82+1158</f>
        <v>2551</v>
      </c>
      <c r="F47" s="110"/>
      <c r="G47" s="103"/>
      <c r="H47" s="103"/>
      <c r="I47" s="111">
        <f>400+623</f>
        <v>1023</v>
      </c>
      <c r="J47" s="59">
        <f t="shared" si="6"/>
        <v>4114</v>
      </c>
      <c r="K47" s="29">
        <v>53613</v>
      </c>
      <c r="L47" s="1" t="s">
        <v>29</v>
      </c>
      <c r="N47" s="62" t="s">
        <v>19</v>
      </c>
      <c r="O47" s="48"/>
      <c r="P47" s="49"/>
      <c r="Q47" s="49">
        <v>960</v>
      </c>
      <c r="R47" s="49">
        <f>596+425+1162</f>
        <v>2183</v>
      </c>
      <c r="S47" s="124">
        <f t="shared" si="9"/>
        <v>3143</v>
      </c>
      <c r="T47" s="110">
        <v>56</v>
      </c>
      <c r="U47" s="103"/>
      <c r="V47" s="103"/>
      <c r="W47" s="111">
        <f>791+121</f>
        <v>912</v>
      </c>
      <c r="X47" s="142">
        <f t="shared" si="7"/>
        <v>968</v>
      </c>
      <c r="Y47" s="88">
        <f t="shared" si="8"/>
        <v>2175</v>
      </c>
      <c r="Z47" s="2">
        <v>51966</v>
      </c>
      <c r="AA47" s="1" t="s">
        <v>19</v>
      </c>
    </row>
    <row r="48" spans="1:28">
      <c r="A48" s="23" t="s">
        <v>11</v>
      </c>
      <c r="B48" s="48">
        <v>540</v>
      </c>
      <c r="C48" s="49"/>
      <c r="D48" s="49">
        <v>1725</v>
      </c>
      <c r="E48" s="50">
        <f>1357+279+1265</f>
        <v>2901</v>
      </c>
      <c r="F48" s="110"/>
      <c r="G48" s="103"/>
      <c r="H48" s="103"/>
      <c r="I48" s="111">
        <f>641+462</f>
        <v>1103</v>
      </c>
      <c r="J48" s="59">
        <f t="shared" si="6"/>
        <v>4063</v>
      </c>
      <c r="K48" s="39">
        <v>52593</v>
      </c>
      <c r="L48" s="1" t="s">
        <v>11</v>
      </c>
      <c r="N48" s="62" t="s">
        <v>10</v>
      </c>
      <c r="O48" s="48">
        <v>208</v>
      </c>
      <c r="P48" s="49"/>
      <c r="Q48" s="49">
        <v>951</v>
      </c>
      <c r="R48" s="49">
        <f>756+445+1331</f>
        <v>2532</v>
      </c>
      <c r="S48" s="124">
        <f t="shared" si="9"/>
        <v>3691</v>
      </c>
      <c r="T48" s="110"/>
      <c r="U48" s="103"/>
      <c r="V48" s="103"/>
      <c r="W48" s="111">
        <f>795+108</f>
        <v>903</v>
      </c>
      <c r="X48" s="142">
        <f t="shared" si="7"/>
        <v>903</v>
      </c>
      <c r="Y48" s="88">
        <f t="shared" si="8"/>
        <v>2788</v>
      </c>
      <c r="Z48" s="2">
        <v>51008</v>
      </c>
      <c r="AA48" s="1" t="s">
        <v>10</v>
      </c>
    </row>
    <row r="49" spans="1:28">
      <c r="A49" s="23" t="s">
        <v>33</v>
      </c>
      <c r="B49" s="48"/>
      <c r="C49" s="49"/>
      <c r="D49" s="49">
        <v>1600</v>
      </c>
      <c r="E49" s="50">
        <f>1447+271+1220</f>
        <v>2938</v>
      </c>
      <c r="F49" s="110">
        <v>44</v>
      </c>
      <c r="G49" s="103"/>
      <c r="H49" s="103"/>
      <c r="I49" s="111">
        <f>186+718</f>
        <v>904</v>
      </c>
      <c r="J49" s="60">
        <f t="shared" si="6"/>
        <v>3590</v>
      </c>
      <c r="K49" s="39">
        <v>52587</v>
      </c>
      <c r="L49" s="1" t="s">
        <v>33</v>
      </c>
      <c r="N49" s="62" t="s">
        <v>29</v>
      </c>
      <c r="O49" s="48"/>
      <c r="P49" s="49"/>
      <c r="Q49" s="49">
        <v>674</v>
      </c>
      <c r="R49" s="49">
        <f>625+545+1297</f>
        <v>2467</v>
      </c>
      <c r="S49" s="124">
        <f t="shared" si="9"/>
        <v>3141</v>
      </c>
      <c r="T49" s="110">
        <v>382</v>
      </c>
      <c r="U49" s="103"/>
      <c r="V49" s="103"/>
      <c r="W49" s="111">
        <f>861+100</f>
        <v>961</v>
      </c>
      <c r="X49" s="142">
        <f t="shared" si="7"/>
        <v>1343</v>
      </c>
      <c r="Y49" s="88">
        <f t="shared" si="8"/>
        <v>1798</v>
      </c>
      <c r="Z49" s="119">
        <v>50392</v>
      </c>
      <c r="AA49" s="1" t="s">
        <v>29</v>
      </c>
    </row>
    <row r="50" spans="1:28">
      <c r="A50" s="23" t="s">
        <v>12</v>
      </c>
      <c r="B50" s="48"/>
      <c r="C50" s="49"/>
      <c r="D50" s="49">
        <v>1172</v>
      </c>
      <c r="E50" s="50">
        <f>1252+434+1054+363</f>
        <v>3103</v>
      </c>
      <c r="F50" s="110">
        <v>707</v>
      </c>
      <c r="G50" s="103"/>
      <c r="H50" s="103"/>
      <c r="I50" s="111">
        <f>419</f>
        <v>419</v>
      </c>
      <c r="J50" s="59">
        <f t="shared" si="6"/>
        <v>3149</v>
      </c>
      <c r="K50" s="29">
        <v>52880</v>
      </c>
      <c r="L50" s="1" t="s">
        <v>12</v>
      </c>
      <c r="N50" s="62" t="s">
        <v>11</v>
      </c>
      <c r="O50" s="48"/>
      <c r="P50" s="49"/>
      <c r="Q50" s="49">
        <v>867</v>
      </c>
      <c r="R50" s="49">
        <f>949+216+1374</f>
        <v>2539</v>
      </c>
      <c r="S50" s="124">
        <f t="shared" si="9"/>
        <v>3406</v>
      </c>
      <c r="T50" s="110">
        <v>496</v>
      </c>
      <c r="U50" s="103"/>
      <c r="V50" s="103"/>
      <c r="W50" s="111">
        <f>855+318</f>
        <v>1173</v>
      </c>
      <c r="X50" s="142">
        <f t="shared" si="7"/>
        <v>1669</v>
      </c>
      <c r="Y50" s="88">
        <f t="shared" si="8"/>
        <v>1737</v>
      </c>
      <c r="Z50" s="2">
        <v>49557</v>
      </c>
      <c r="AA50" s="1" t="s">
        <v>11</v>
      </c>
    </row>
    <row r="51" spans="1:28">
      <c r="A51" s="25" t="s">
        <v>20</v>
      </c>
      <c r="B51" s="48"/>
      <c r="C51" s="49"/>
      <c r="D51" s="49">
        <v>702</v>
      </c>
      <c r="E51" s="50">
        <f>485+1037+586</f>
        <v>2108</v>
      </c>
      <c r="F51" s="110">
        <v>1219</v>
      </c>
      <c r="G51" s="103"/>
      <c r="H51" s="103"/>
      <c r="I51" s="111">
        <f>29+39</f>
        <v>68</v>
      </c>
      <c r="J51" s="59">
        <f t="shared" si="6"/>
        <v>1523</v>
      </c>
      <c r="K51" s="29">
        <v>54711</v>
      </c>
      <c r="L51" s="9" t="s">
        <v>20</v>
      </c>
      <c r="N51" s="62" t="s">
        <v>33</v>
      </c>
      <c r="O51" s="48"/>
      <c r="P51" s="49"/>
      <c r="Q51" s="49">
        <v>1000</v>
      </c>
      <c r="R51" s="49">
        <f>1328+1117+1224</f>
        <v>3669</v>
      </c>
      <c r="S51" s="124">
        <f t="shared" si="9"/>
        <v>4669</v>
      </c>
      <c r="T51" s="110">
        <v>817</v>
      </c>
      <c r="U51" s="103"/>
      <c r="V51" s="103"/>
      <c r="W51" s="111">
        <f>858+164</f>
        <v>1022</v>
      </c>
      <c r="X51" s="142">
        <f t="shared" si="7"/>
        <v>1839</v>
      </c>
      <c r="Y51" s="89">
        <f t="shared" si="8"/>
        <v>2830</v>
      </c>
      <c r="Z51" s="2">
        <v>49799</v>
      </c>
      <c r="AA51" s="1" t="s">
        <v>33</v>
      </c>
    </row>
    <row r="52" spans="1:28">
      <c r="A52" s="26" t="s">
        <v>21</v>
      </c>
      <c r="B52" s="48"/>
      <c r="C52" s="49"/>
      <c r="D52" s="49">
        <v>459</v>
      </c>
      <c r="E52" s="50">
        <f>897+245+128</f>
        <v>1270</v>
      </c>
      <c r="F52" s="110">
        <v>33</v>
      </c>
      <c r="G52" s="103"/>
      <c r="H52" s="103"/>
      <c r="I52" s="111">
        <f>169+411</f>
        <v>580</v>
      </c>
      <c r="J52" s="59">
        <f t="shared" si="6"/>
        <v>1116</v>
      </c>
      <c r="K52" s="29">
        <v>55002</v>
      </c>
      <c r="L52" s="64" t="s">
        <v>21</v>
      </c>
      <c r="M52" s="52"/>
      <c r="N52" s="62" t="s">
        <v>12</v>
      </c>
      <c r="O52" s="48"/>
      <c r="P52" s="49"/>
      <c r="Q52" s="49">
        <v>1328</v>
      </c>
      <c r="R52" s="49">
        <f>1419+718+1417</f>
        <v>3554</v>
      </c>
      <c r="S52" s="124">
        <f t="shared" si="9"/>
        <v>4882</v>
      </c>
      <c r="T52" s="110">
        <v>909</v>
      </c>
      <c r="U52" s="103"/>
      <c r="V52" s="103"/>
      <c r="W52" s="111">
        <f>437+14</f>
        <v>451</v>
      </c>
      <c r="X52" s="142">
        <f t="shared" si="7"/>
        <v>1360</v>
      </c>
      <c r="Y52" s="88">
        <f t="shared" si="8"/>
        <v>3522</v>
      </c>
      <c r="Z52" s="2">
        <v>50282</v>
      </c>
      <c r="AA52" s="1" t="s">
        <v>12</v>
      </c>
    </row>
    <row r="53" spans="1:28">
      <c r="A53" s="25" t="s">
        <v>22</v>
      </c>
      <c r="B53" s="48">
        <v>137</v>
      </c>
      <c r="C53" s="49"/>
      <c r="D53" s="49">
        <v>871</v>
      </c>
      <c r="E53" s="50">
        <f>1087+80+406</f>
        <v>1573</v>
      </c>
      <c r="F53" s="110"/>
      <c r="G53" s="103"/>
      <c r="H53" s="103"/>
      <c r="I53" s="111">
        <f>144+689</f>
        <v>833</v>
      </c>
      <c r="J53" s="59">
        <f t="shared" si="6"/>
        <v>1748</v>
      </c>
      <c r="K53" s="29">
        <v>53363</v>
      </c>
      <c r="L53" s="65" t="s">
        <v>22</v>
      </c>
      <c r="M53" s="52"/>
      <c r="N53" s="65" t="s">
        <v>20</v>
      </c>
      <c r="O53" s="48"/>
      <c r="P53" s="49"/>
      <c r="Q53" s="49">
        <v>1142</v>
      </c>
      <c r="R53" s="49">
        <f>1359+285+384+1372</f>
        <v>3400</v>
      </c>
      <c r="S53" s="124">
        <f t="shared" si="9"/>
        <v>4542</v>
      </c>
      <c r="T53" s="110">
        <v>1176</v>
      </c>
      <c r="U53" s="103"/>
      <c r="V53" s="103"/>
      <c r="W53" s="111">
        <v>40</v>
      </c>
      <c r="X53" s="142">
        <f t="shared" si="7"/>
        <v>1216</v>
      </c>
      <c r="Y53" s="88">
        <f t="shared" si="8"/>
        <v>3326</v>
      </c>
      <c r="Z53" s="2">
        <v>52397</v>
      </c>
      <c r="AA53" s="9" t="s">
        <v>20</v>
      </c>
    </row>
    <row r="54" spans="1:28">
      <c r="A54" s="25" t="s">
        <v>23</v>
      </c>
      <c r="B54" s="48"/>
      <c r="C54" s="49"/>
      <c r="D54" s="49">
        <v>981</v>
      </c>
      <c r="E54" s="50">
        <f>1240+767</f>
        <v>2007</v>
      </c>
      <c r="F54" s="110">
        <v>155</v>
      </c>
      <c r="G54" s="103"/>
      <c r="H54" s="103"/>
      <c r="I54" s="111">
        <f>741+470+140</f>
        <v>1351</v>
      </c>
      <c r="J54" s="59">
        <f t="shared" si="6"/>
        <v>1482</v>
      </c>
      <c r="K54" s="29">
        <v>50578</v>
      </c>
      <c r="L54" s="9" t="s">
        <v>23</v>
      </c>
      <c r="N54" s="65" t="s">
        <v>21</v>
      </c>
      <c r="O54" s="48">
        <v>513</v>
      </c>
      <c r="P54" s="49"/>
      <c r="Q54" s="49">
        <v>1505</v>
      </c>
      <c r="R54" s="49">
        <f>799+30+1279</f>
        <v>2108</v>
      </c>
      <c r="S54" s="124">
        <f t="shared" si="9"/>
        <v>4126</v>
      </c>
      <c r="T54" s="110"/>
      <c r="U54" s="103"/>
      <c r="V54" s="103"/>
      <c r="W54" s="111">
        <f>37+301</f>
        <v>338</v>
      </c>
      <c r="X54" s="142">
        <f t="shared" si="7"/>
        <v>338</v>
      </c>
      <c r="Y54" s="88">
        <f t="shared" si="8"/>
        <v>3788</v>
      </c>
      <c r="Z54" s="2">
        <v>52819</v>
      </c>
      <c r="AA54" s="9" t="s">
        <v>21</v>
      </c>
    </row>
    <row r="55" spans="1:28" ht="15.75" thickBot="1">
      <c r="A55" s="25" t="s">
        <v>24</v>
      </c>
      <c r="B55" s="48"/>
      <c r="C55" s="49"/>
      <c r="D55" s="49">
        <v>1525</v>
      </c>
      <c r="E55" s="50">
        <f>568+1014</f>
        <v>1582</v>
      </c>
      <c r="F55" s="110">
        <v>116</v>
      </c>
      <c r="G55" s="103"/>
      <c r="H55" s="103"/>
      <c r="I55" s="111">
        <f>752+585+556</f>
        <v>1893</v>
      </c>
      <c r="J55" s="59">
        <f t="shared" si="6"/>
        <v>1098</v>
      </c>
      <c r="K55" s="29">
        <v>48921</v>
      </c>
      <c r="L55" s="9" t="s">
        <v>24</v>
      </c>
      <c r="N55" s="65" t="s">
        <v>22</v>
      </c>
      <c r="O55" s="48">
        <v>335</v>
      </c>
      <c r="P55" s="49"/>
      <c r="Q55" s="49">
        <v>1596</v>
      </c>
      <c r="R55" s="49">
        <f>1426+228+895</f>
        <v>2549</v>
      </c>
      <c r="S55" s="124">
        <f t="shared" si="9"/>
        <v>4480</v>
      </c>
      <c r="T55" s="110"/>
      <c r="U55" s="103"/>
      <c r="V55" s="103"/>
      <c r="W55" s="111">
        <f>810+147</f>
        <v>957</v>
      </c>
      <c r="X55" s="142">
        <f t="shared" si="7"/>
        <v>957</v>
      </c>
      <c r="Y55" s="88">
        <f t="shared" si="8"/>
        <v>3523</v>
      </c>
      <c r="Z55" s="2">
        <v>51382</v>
      </c>
      <c r="AA55" s="9" t="s">
        <v>22</v>
      </c>
    </row>
    <row r="56" spans="1:28">
      <c r="A56" s="25" t="s">
        <v>25</v>
      </c>
      <c r="B56" s="48">
        <v>370</v>
      </c>
      <c r="C56" s="49"/>
      <c r="D56" s="49">
        <v>1927</v>
      </c>
      <c r="E56" s="50">
        <f>383+1146</f>
        <v>1529</v>
      </c>
      <c r="F56" s="110"/>
      <c r="G56" s="103"/>
      <c r="H56" s="103"/>
      <c r="I56" s="111">
        <f>811+588+1106</f>
        <v>2505</v>
      </c>
      <c r="J56" s="59">
        <f t="shared" si="6"/>
        <v>1321</v>
      </c>
      <c r="K56" s="29">
        <v>47643</v>
      </c>
      <c r="L56" s="65" t="s">
        <v>25</v>
      </c>
      <c r="M56" s="104"/>
      <c r="N56" s="65" t="s">
        <v>23</v>
      </c>
      <c r="O56" s="48">
        <v>87</v>
      </c>
      <c r="P56" s="49"/>
      <c r="Q56" s="49">
        <v>2041</v>
      </c>
      <c r="R56" s="49">
        <f>1350+63+1427</f>
        <v>2840</v>
      </c>
      <c r="S56" s="124">
        <f t="shared" si="9"/>
        <v>4968</v>
      </c>
      <c r="T56" s="110"/>
      <c r="U56" s="103"/>
      <c r="V56" s="103"/>
      <c r="W56" s="111">
        <f>570+859</f>
        <v>1429</v>
      </c>
      <c r="X56" s="142">
        <f t="shared" si="7"/>
        <v>1429</v>
      </c>
      <c r="Y56" s="88">
        <f t="shared" si="8"/>
        <v>3539</v>
      </c>
      <c r="Z56" s="2">
        <v>48820</v>
      </c>
      <c r="AA56" s="9" t="s">
        <v>23</v>
      </c>
    </row>
    <row r="57" spans="1:28" ht="15.75" thickBot="1">
      <c r="A57" s="53" t="s">
        <v>26</v>
      </c>
      <c r="B57" s="48">
        <v>618</v>
      </c>
      <c r="C57" s="49"/>
      <c r="D57" s="49">
        <v>1821</v>
      </c>
      <c r="E57" s="50">
        <f>514+1345</f>
        <v>1859</v>
      </c>
      <c r="F57" s="110"/>
      <c r="G57" s="103"/>
      <c r="H57" s="103"/>
      <c r="I57" s="111">
        <f>588+1103+725</f>
        <v>2416</v>
      </c>
      <c r="J57" s="59">
        <f t="shared" si="6"/>
        <v>1882</v>
      </c>
      <c r="K57" s="52">
        <v>44322</v>
      </c>
      <c r="L57" s="65" t="s">
        <v>26</v>
      </c>
      <c r="M57" s="105"/>
      <c r="N57" s="65" t="s">
        <v>24</v>
      </c>
      <c r="O57" s="48">
        <v>63</v>
      </c>
      <c r="P57" s="49"/>
      <c r="Q57" s="49">
        <v>2440</v>
      </c>
      <c r="R57" s="49">
        <f>1549+850</f>
        <v>2399</v>
      </c>
      <c r="S57" s="124">
        <f t="shared" si="9"/>
        <v>4902</v>
      </c>
      <c r="T57" s="110"/>
      <c r="U57" s="103"/>
      <c r="V57" s="103"/>
      <c r="W57" s="111">
        <f>845+587+428</f>
        <v>1860</v>
      </c>
      <c r="X57" s="142">
        <f t="shared" si="7"/>
        <v>1860</v>
      </c>
      <c r="Y57" s="88">
        <f t="shared" si="8"/>
        <v>3042</v>
      </c>
      <c r="Z57" s="2">
        <v>46795</v>
      </c>
      <c r="AA57" s="9" t="s">
        <v>24</v>
      </c>
    </row>
    <row r="58" spans="1:28" s="5" customFormat="1">
      <c r="A58" s="66" t="s">
        <v>44</v>
      </c>
      <c r="B58" s="73">
        <f t="shared" ref="B58:H58" si="10">SUM(B34:B57)</f>
        <v>6135</v>
      </c>
      <c r="C58" s="67">
        <f t="shared" si="10"/>
        <v>0</v>
      </c>
      <c r="D58" s="67">
        <f t="shared" si="10"/>
        <v>39791</v>
      </c>
      <c r="E58" s="67">
        <f t="shared" si="10"/>
        <v>54105</v>
      </c>
      <c r="F58" s="73">
        <f t="shared" si="10"/>
        <v>3329</v>
      </c>
      <c r="G58" s="67">
        <f t="shared" si="10"/>
        <v>0</v>
      </c>
      <c r="H58" s="67">
        <f t="shared" si="10"/>
        <v>0</v>
      </c>
      <c r="I58" s="67">
        <f>SUM(I34:I57)</f>
        <v>33498</v>
      </c>
      <c r="J58" s="77">
        <f>SUM(J34:J57)</f>
        <v>63204</v>
      </c>
      <c r="K58" s="80" t="s">
        <v>46</v>
      </c>
      <c r="N58" s="65" t="s">
        <v>25</v>
      </c>
      <c r="O58" s="48">
        <v>316</v>
      </c>
      <c r="P58" s="49"/>
      <c r="Q58" s="49">
        <v>2574</v>
      </c>
      <c r="R58" s="49">
        <f>1304+571</f>
        <v>1875</v>
      </c>
      <c r="S58" s="124">
        <f t="shared" si="9"/>
        <v>4765</v>
      </c>
      <c r="T58" s="110"/>
      <c r="U58" s="103"/>
      <c r="V58" s="103"/>
      <c r="W58" s="111">
        <f>759+587+865</f>
        <v>2211</v>
      </c>
      <c r="X58" s="142">
        <f t="shared" si="7"/>
        <v>2211</v>
      </c>
      <c r="Y58" s="88">
        <f t="shared" si="8"/>
        <v>2554</v>
      </c>
      <c r="Z58" s="2">
        <v>45439</v>
      </c>
      <c r="AA58" s="9" t="s">
        <v>25</v>
      </c>
      <c r="AB58"/>
    </row>
    <row r="59" spans="1:28" s="5" customFormat="1" ht="15.75" thickBot="1">
      <c r="A59" s="16"/>
      <c r="B59" s="79"/>
      <c r="C59" s="54"/>
      <c r="D59" s="54"/>
      <c r="E59" s="54"/>
      <c r="F59" s="79"/>
      <c r="G59" s="54"/>
      <c r="H59" s="54"/>
      <c r="I59" s="54"/>
      <c r="J59" s="54"/>
      <c r="K59" s="78">
        <f>B58-F58</f>
        <v>2806</v>
      </c>
      <c r="N59" s="65" t="s">
        <v>26</v>
      </c>
      <c r="O59" s="140">
        <v>320</v>
      </c>
      <c r="P59" s="141"/>
      <c r="Q59" s="141">
        <v>2496</v>
      </c>
      <c r="R59" s="141">
        <f>1668+601</f>
        <v>2269</v>
      </c>
      <c r="S59" s="126">
        <f t="shared" si="9"/>
        <v>5085</v>
      </c>
      <c r="T59" s="133"/>
      <c r="U59" s="107"/>
      <c r="V59" s="107"/>
      <c r="W59" s="143">
        <f>802+537+848</f>
        <v>2187</v>
      </c>
      <c r="X59" s="142">
        <f t="shared" si="7"/>
        <v>2187</v>
      </c>
      <c r="Y59" s="88">
        <f t="shared" si="8"/>
        <v>2898</v>
      </c>
      <c r="Z59" s="2">
        <v>42156</v>
      </c>
      <c r="AA59" s="9" t="s">
        <v>26</v>
      </c>
      <c r="AB59"/>
    </row>
    <row r="60" spans="1:28" s="5" customFormat="1">
      <c r="A60" s="16"/>
      <c r="B60" s="79"/>
      <c r="C60" s="54"/>
      <c r="D60" s="54"/>
      <c r="E60" s="54"/>
      <c r="F60" s="79"/>
      <c r="G60" s="54"/>
      <c r="H60" s="54"/>
      <c r="I60" s="54"/>
      <c r="J60" s="54"/>
      <c r="K60" s="61"/>
      <c r="L60" s="54"/>
      <c r="N60" s="66" t="s">
        <v>44</v>
      </c>
      <c r="O60" s="138">
        <f t="shared" ref="O60:X60" si="11">SUM(O36:O59)</f>
        <v>4051</v>
      </c>
      <c r="P60" s="139">
        <f t="shared" si="11"/>
        <v>0</v>
      </c>
      <c r="Q60" s="139">
        <f t="shared" si="11"/>
        <v>42102</v>
      </c>
      <c r="R60" s="139">
        <f t="shared" si="11"/>
        <v>57889</v>
      </c>
      <c r="S60" s="130">
        <f t="shared" si="11"/>
        <v>104042</v>
      </c>
      <c r="T60" s="138">
        <f t="shared" si="11"/>
        <v>4153</v>
      </c>
      <c r="U60" s="139">
        <f t="shared" si="11"/>
        <v>0</v>
      </c>
      <c r="V60" s="139">
        <f t="shared" si="11"/>
        <v>0</v>
      </c>
      <c r="W60" s="139">
        <f>SUM(W36:W59)</f>
        <v>33243</v>
      </c>
      <c r="X60" s="118">
        <f t="shared" si="11"/>
        <v>37396</v>
      </c>
      <c r="Y60" s="77">
        <f>SUM(Y36:Y59)</f>
        <v>66646</v>
      </c>
      <c r="Z60" s="80" t="s">
        <v>46</v>
      </c>
      <c r="AA60"/>
      <c r="AB60"/>
    </row>
    <row r="61" spans="1:28" ht="15.75" thickBot="1">
      <c r="A61" s="16"/>
      <c r="B61" s="85"/>
      <c r="C61" s="83"/>
      <c r="D61" s="83"/>
      <c r="E61" s="87"/>
      <c r="F61" s="85"/>
      <c r="G61" s="83"/>
      <c r="H61" s="83"/>
      <c r="I61" s="83"/>
      <c r="J61" s="87"/>
      <c r="K61" s="18"/>
      <c r="L61" s="85"/>
      <c r="N61" s="16"/>
      <c r="O61" s="8" t="s">
        <v>0</v>
      </c>
      <c r="P61" s="2" t="s">
        <v>14</v>
      </c>
      <c r="Q61" s="2" t="s">
        <v>15</v>
      </c>
      <c r="R61" s="14" t="s">
        <v>41</v>
      </c>
      <c r="S61" s="14"/>
      <c r="T61" s="8" t="s">
        <v>0</v>
      </c>
      <c r="U61" s="2" t="s">
        <v>14</v>
      </c>
      <c r="V61" s="2" t="s">
        <v>15</v>
      </c>
      <c r="W61" s="14" t="s">
        <v>41</v>
      </c>
      <c r="X61" s="2" t="s">
        <v>44</v>
      </c>
      <c r="Y61" s="7" t="s">
        <v>16</v>
      </c>
      <c r="Z61" s="78">
        <f>O60-T60</f>
        <v>-102</v>
      </c>
    </row>
    <row r="62" spans="1:28">
      <c r="A62" s="16"/>
      <c r="B62" s="203"/>
      <c r="C62" s="203"/>
      <c r="D62" s="203"/>
      <c r="E62" s="203"/>
      <c r="F62" s="204"/>
      <c r="G62" s="204"/>
      <c r="H62" s="204"/>
      <c r="I62" s="204"/>
      <c r="J62" s="204"/>
      <c r="K62" s="17"/>
      <c r="L62" s="4"/>
      <c r="O62" s="3" t="s">
        <v>42</v>
      </c>
      <c r="P62" s="115"/>
      <c r="Q62" s="115"/>
      <c r="R62" s="115"/>
      <c r="S62" s="117"/>
      <c r="T62" s="101" t="s">
        <v>43</v>
      </c>
      <c r="U62" s="70"/>
      <c r="V62" s="70"/>
      <c r="W62" s="116"/>
      <c r="X62" s="3" t="s">
        <v>56</v>
      </c>
      <c r="Y62" s="3" t="s">
        <v>32</v>
      </c>
    </row>
  </sheetData>
  <mergeCells count="8">
    <mergeCell ref="T4:X4"/>
    <mergeCell ref="O4:R4"/>
    <mergeCell ref="B62:E62"/>
    <mergeCell ref="F62:J62"/>
    <mergeCell ref="B3:E3"/>
    <mergeCell ref="F3:J3"/>
    <mergeCell ref="B32:E32"/>
    <mergeCell ref="F32:I32"/>
  </mergeCells>
  <phoneticPr fontId="8" type="noConversion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 xml:space="preserve">&amp;LBEN_06.02.2012&amp;CMegawatt&amp;R&amp;"-,Fett"Quelle:&amp;"-,Standard" &amp;Uhttp://entsoe.net&amp;U
</oddHeader>
    <oddFooter>Seite &amp;P von &amp;N</oddFooter>
  </headerFooter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60"/>
  <sheetViews>
    <sheetView workbookViewId="0">
      <selection activeCell="A2" sqref="A2:O60"/>
    </sheetView>
  </sheetViews>
  <sheetFormatPr baseColWidth="10" defaultRowHeight="15"/>
  <cols>
    <col min="2" max="2" width="5" bestFit="1" customWidth="1"/>
    <col min="3" max="3" width="4.85546875" bestFit="1" customWidth="1"/>
    <col min="4" max="4" width="6" bestFit="1" customWidth="1"/>
    <col min="5" max="5" width="12.28515625" bestFit="1" customWidth="1"/>
    <col min="6" max="6" width="7.7109375" bestFit="1" customWidth="1"/>
    <col min="7" max="7" width="5" bestFit="1" customWidth="1"/>
    <col min="8" max="8" width="6" bestFit="1" customWidth="1"/>
    <col min="9" max="9" width="5" bestFit="1" customWidth="1"/>
    <col min="10" max="10" width="12.28515625" bestFit="1" customWidth="1"/>
    <col min="11" max="11" width="8.7109375" bestFit="1" customWidth="1"/>
    <col min="12" max="12" width="7.7109375" bestFit="1" customWidth="1"/>
    <col min="13" max="14" width="12.7109375" bestFit="1" customWidth="1"/>
    <col min="15" max="15" width="9.85546875" customWidth="1"/>
    <col min="16" max="16" width="16.85546875" bestFit="1" customWidth="1"/>
  </cols>
  <sheetData>
    <row r="2" spans="1:17">
      <c r="B2" s="6" t="s">
        <v>0</v>
      </c>
    </row>
    <row r="3" spans="1:17">
      <c r="A3" s="33">
        <v>40946</v>
      </c>
      <c r="B3" s="201" t="s">
        <v>42</v>
      </c>
      <c r="C3" s="202"/>
      <c r="D3" s="202"/>
      <c r="E3" s="202"/>
      <c r="F3" s="2" t="s">
        <v>57</v>
      </c>
      <c r="G3" s="200" t="s">
        <v>43</v>
      </c>
      <c r="H3" s="200"/>
      <c r="I3" s="200"/>
      <c r="J3" s="200"/>
      <c r="K3" s="200"/>
      <c r="L3" s="2" t="s">
        <v>56</v>
      </c>
      <c r="M3" s="3" t="s">
        <v>32</v>
      </c>
      <c r="N3" s="1"/>
      <c r="O3" s="1"/>
      <c r="P3" s="4"/>
    </row>
    <row r="4" spans="1:17">
      <c r="A4" s="1"/>
      <c r="B4" s="6" t="s">
        <v>13</v>
      </c>
      <c r="C4" s="6" t="s">
        <v>14</v>
      </c>
      <c r="D4" s="6" t="s">
        <v>15</v>
      </c>
      <c r="E4" s="120" t="s">
        <v>18</v>
      </c>
      <c r="F4" s="6" t="s">
        <v>44</v>
      </c>
      <c r="G4" s="6" t="s">
        <v>13</v>
      </c>
      <c r="H4" s="6" t="s">
        <v>14</v>
      </c>
      <c r="I4" s="6" t="s">
        <v>15</v>
      </c>
      <c r="J4" s="6" t="s">
        <v>53</v>
      </c>
      <c r="K4" s="120" t="s">
        <v>55</v>
      </c>
      <c r="L4" s="6" t="s">
        <v>44</v>
      </c>
      <c r="M4" s="7" t="s">
        <v>16</v>
      </c>
      <c r="N4" s="8" t="s">
        <v>27</v>
      </c>
      <c r="O4" s="1"/>
      <c r="P4" s="27" t="s">
        <v>40</v>
      </c>
    </row>
    <row r="5" spans="1:17">
      <c r="A5" s="62" t="s">
        <v>1</v>
      </c>
      <c r="B5" s="35"/>
      <c r="C5" s="36"/>
      <c r="D5" s="36">
        <v>550</v>
      </c>
      <c r="E5" s="36">
        <v>375</v>
      </c>
      <c r="F5" s="125">
        <f>SUM(B5:E5)</f>
        <v>925</v>
      </c>
      <c r="G5" s="108">
        <v>25</v>
      </c>
      <c r="H5" s="106">
        <v>888</v>
      </c>
      <c r="I5" s="106"/>
      <c r="J5" s="106">
        <v>1986</v>
      </c>
      <c r="K5" s="106">
        <f>995</f>
        <v>995</v>
      </c>
      <c r="L5" s="131">
        <f>SUM(G5:K5)</f>
        <v>3894</v>
      </c>
      <c r="M5" s="127">
        <f t="shared" ref="M5:M28" si="0">SUM(B5:E5)-SUM(G5:K5)</f>
        <v>-2969</v>
      </c>
      <c r="N5" s="2">
        <v>86450</v>
      </c>
      <c r="O5" s="1" t="s">
        <v>1</v>
      </c>
      <c r="P5" s="4"/>
      <c r="Q5" s="4"/>
    </row>
    <row r="6" spans="1:17">
      <c r="A6" s="62" t="s">
        <v>2</v>
      </c>
      <c r="B6" s="37"/>
      <c r="C6" s="38"/>
      <c r="D6" s="38">
        <v>499</v>
      </c>
      <c r="E6" s="38">
        <v>294</v>
      </c>
      <c r="F6" s="124">
        <f>SUM(B6:E6)</f>
        <v>793</v>
      </c>
      <c r="G6" s="110">
        <f>251</f>
        <v>251</v>
      </c>
      <c r="H6" s="103">
        <v>824</v>
      </c>
      <c r="I6" s="103"/>
      <c r="J6" s="103">
        <v>1985</v>
      </c>
      <c r="K6" s="103">
        <f>1116</f>
        <v>1116</v>
      </c>
      <c r="L6" s="132">
        <f>SUM(G6:K6)</f>
        <v>4176</v>
      </c>
      <c r="M6" s="127">
        <f t="shared" si="0"/>
        <v>-3383</v>
      </c>
      <c r="N6" s="2">
        <v>84850</v>
      </c>
      <c r="O6" s="1" t="s">
        <v>2</v>
      </c>
      <c r="P6" s="4"/>
      <c r="Q6" s="4"/>
    </row>
    <row r="7" spans="1:17">
      <c r="A7" s="62" t="s">
        <v>3</v>
      </c>
      <c r="B7" s="37">
        <v>193</v>
      </c>
      <c r="C7" s="38"/>
      <c r="D7" s="38">
        <v>605</v>
      </c>
      <c r="E7" s="38">
        <v>402</v>
      </c>
      <c r="F7" s="124">
        <f>SUM(B7:E7)</f>
        <v>1200</v>
      </c>
      <c r="G7" s="110"/>
      <c r="H7" s="103">
        <v>905</v>
      </c>
      <c r="I7" s="103"/>
      <c r="J7" s="103">
        <v>1988</v>
      </c>
      <c r="K7" s="103">
        <f>1109</f>
        <v>1109</v>
      </c>
      <c r="L7" s="132">
        <f t="shared" ref="L7:L28" si="1">SUM(G7:K7)</f>
        <v>4002</v>
      </c>
      <c r="M7" s="127">
        <f>SUM(B7:E7)-SUM(G7:K7)</f>
        <v>-2802</v>
      </c>
      <c r="N7" s="2">
        <v>85650</v>
      </c>
      <c r="O7" s="1" t="s">
        <v>3</v>
      </c>
      <c r="P7" s="4"/>
      <c r="Q7" s="4"/>
    </row>
    <row r="8" spans="1:17">
      <c r="A8" s="62" t="s">
        <v>4</v>
      </c>
      <c r="B8" s="37">
        <v>35</v>
      </c>
      <c r="C8" s="38"/>
      <c r="D8" s="38">
        <v>807</v>
      </c>
      <c r="E8" s="38">
        <v>508</v>
      </c>
      <c r="F8" s="124">
        <f t="shared" ref="F8:F28" si="2">SUM(B8:E8)</f>
        <v>1350</v>
      </c>
      <c r="G8" s="110"/>
      <c r="H8" s="103">
        <v>905</v>
      </c>
      <c r="I8" s="103"/>
      <c r="J8" s="103">
        <v>1989</v>
      </c>
      <c r="K8" s="103">
        <f>1107</f>
        <v>1107</v>
      </c>
      <c r="L8" s="132">
        <f t="shared" si="1"/>
        <v>4001</v>
      </c>
      <c r="M8" s="127">
        <f t="shared" si="0"/>
        <v>-2651</v>
      </c>
      <c r="N8" s="2">
        <v>82300</v>
      </c>
      <c r="O8" s="1" t="s">
        <v>4</v>
      </c>
      <c r="P8" s="4"/>
      <c r="Q8" s="4"/>
    </row>
    <row r="9" spans="1:17">
      <c r="A9" s="62" t="s">
        <v>28</v>
      </c>
      <c r="B9" s="37">
        <v>55</v>
      </c>
      <c r="C9" s="38"/>
      <c r="D9" s="38">
        <v>772</v>
      </c>
      <c r="E9" s="38">
        <v>454</v>
      </c>
      <c r="F9" s="124">
        <f t="shared" si="2"/>
        <v>1281</v>
      </c>
      <c r="G9" s="110"/>
      <c r="H9" s="103">
        <v>995</v>
      </c>
      <c r="I9" s="103"/>
      <c r="J9" s="103">
        <v>1989</v>
      </c>
      <c r="K9" s="103">
        <f>1120</f>
        <v>1120</v>
      </c>
      <c r="L9" s="132">
        <f t="shared" si="1"/>
        <v>4104</v>
      </c>
      <c r="M9" s="127">
        <f>SUM(B9:E9)-SUM(G9:K9)</f>
        <v>-2823</v>
      </c>
      <c r="N9" s="2">
        <v>80300</v>
      </c>
      <c r="O9" s="1" t="s">
        <v>28</v>
      </c>
      <c r="P9" s="4"/>
      <c r="Q9" s="4"/>
    </row>
    <row r="10" spans="1:17">
      <c r="A10" s="62" t="s">
        <v>5</v>
      </c>
      <c r="B10" s="37"/>
      <c r="C10" s="38"/>
      <c r="D10" s="38">
        <v>463</v>
      </c>
      <c r="E10" s="38">
        <v>207</v>
      </c>
      <c r="F10" s="124">
        <f t="shared" si="2"/>
        <v>670</v>
      </c>
      <c r="G10" s="110">
        <v>129</v>
      </c>
      <c r="H10" s="103">
        <v>1390</v>
      </c>
      <c r="I10" s="103"/>
      <c r="J10" s="103">
        <v>1989</v>
      </c>
      <c r="K10" s="103">
        <f>1099</f>
        <v>1099</v>
      </c>
      <c r="L10" s="132">
        <f t="shared" si="1"/>
        <v>4607</v>
      </c>
      <c r="M10" s="127">
        <f t="shared" si="0"/>
        <v>-3937</v>
      </c>
      <c r="N10" s="2">
        <v>81350</v>
      </c>
      <c r="O10" s="1" t="s">
        <v>5</v>
      </c>
      <c r="P10" s="4"/>
      <c r="Q10" s="4"/>
    </row>
    <row r="11" spans="1:17" ht="15.75" thickBot="1">
      <c r="A11" s="62" t="s">
        <v>9</v>
      </c>
      <c r="B11" s="37"/>
      <c r="C11" s="38"/>
      <c r="D11" s="38"/>
      <c r="E11" s="38"/>
      <c r="F11" s="124">
        <f t="shared" si="2"/>
        <v>0</v>
      </c>
      <c r="G11" s="110">
        <v>323</v>
      </c>
      <c r="H11" s="103">
        <v>1490</v>
      </c>
      <c r="I11" s="103">
        <v>395</v>
      </c>
      <c r="J11" s="103">
        <v>1989</v>
      </c>
      <c r="K11" s="103">
        <f>1149+147</f>
        <v>1296</v>
      </c>
      <c r="L11" s="132">
        <f t="shared" si="1"/>
        <v>5493</v>
      </c>
      <c r="M11" s="127">
        <f t="shared" si="0"/>
        <v>-5493</v>
      </c>
      <c r="N11" s="8">
        <v>86150</v>
      </c>
      <c r="O11" s="1" t="s">
        <v>9</v>
      </c>
      <c r="P11" s="4"/>
      <c r="Q11" s="4"/>
    </row>
    <row r="12" spans="1:17">
      <c r="A12" s="62" t="s">
        <v>6</v>
      </c>
      <c r="B12" s="37"/>
      <c r="C12" s="38"/>
      <c r="D12" s="38"/>
      <c r="E12" s="38"/>
      <c r="F12" s="124">
        <f t="shared" si="2"/>
        <v>0</v>
      </c>
      <c r="G12" s="110">
        <v>413</v>
      </c>
      <c r="H12" s="103">
        <v>1331</v>
      </c>
      <c r="I12" s="103">
        <v>579</v>
      </c>
      <c r="J12" s="103">
        <v>1989</v>
      </c>
      <c r="K12" s="103">
        <f>939+373</f>
        <v>1312</v>
      </c>
      <c r="L12" s="132">
        <f t="shared" si="1"/>
        <v>5624</v>
      </c>
      <c r="M12" s="127">
        <f t="shared" si="0"/>
        <v>-5624</v>
      </c>
      <c r="N12" s="2">
        <v>93100</v>
      </c>
      <c r="O12" s="1" t="s">
        <v>6</v>
      </c>
      <c r="P12" s="11" t="s">
        <v>38</v>
      </c>
      <c r="Q12" s="4"/>
    </row>
    <row r="13" spans="1:17" ht="15.75" thickBot="1">
      <c r="A13" s="62" t="s">
        <v>34</v>
      </c>
      <c r="B13" s="37"/>
      <c r="C13" s="38"/>
      <c r="D13" s="38"/>
      <c r="E13" s="38"/>
      <c r="F13" s="124">
        <f t="shared" si="2"/>
        <v>0</v>
      </c>
      <c r="G13" s="110">
        <v>329</v>
      </c>
      <c r="H13" s="103">
        <v>1351</v>
      </c>
      <c r="I13" s="103">
        <v>830</v>
      </c>
      <c r="J13" s="103">
        <v>1989</v>
      </c>
      <c r="K13" s="103">
        <f>1060+678</f>
        <v>1738</v>
      </c>
      <c r="L13" s="132">
        <f t="shared" si="1"/>
        <v>6237</v>
      </c>
      <c r="M13" s="127">
        <f t="shared" si="0"/>
        <v>-6237</v>
      </c>
      <c r="N13" s="2">
        <v>96600</v>
      </c>
      <c r="O13" s="1" t="s">
        <v>34</v>
      </c>
      <c r="P13" s="21">
        <f>AVERAGE(K24:K28,K5:K13)</f>
        <v>1157.7857142857142</v>
      </c>
      <c r="Q13" s="4"/>
    </row>
    <row r="14" spans="1:17" ht="15.75" thickBot="1">
      <c r="A14" s="62" t="s">
        <v>7</v>
      </c>
      <c r="B14" s="37"/>
      <c r="C14" s="38"/>
      <c r="D14" s="38"/>
      <c r="E14" s="38"/>
      <c r="F14" s="124">
        <f t="shared" si="2"/>
        <v>0</v>
      </c>
      <c r="G14" s="110">
        <v>739</v>
      </c>
      <c r="H14" s="103">
        <v>1559</v>
      </c>
      <c r="I14" s="103">
        <v>1325</v>
      </c>
      <c r="J14" s="103">
        <v>1989</v>
      </c>
      <c r="K14" s="103">
        <f>1083+674</f>
        <v>1757</v>
      </c>
      <c r="L14" s="132">
        <f t="shared" si="1"/>
        <v>7369</v>
      </c>
      <c r="M14" s="127">
        <f t="shared" si="0"/>
        <v>-7369</v>
      </c>
      <c r="N14" s="2">
        <v>96850</v>
      </c>
      <c r="O14" s="1" t="s">
        <v>7</v>
      </c>
      <c r="P14" s="4"/>
      <c r="Q14" s="4"/>
    </row>
    <row r="15" spans="1:17">
      <c r="A15" s="62" t="s">
        <v>8</v>
      </c>
      <c r="B15" s="37">
        <v>34</v>
      </c>
      <c r="C15" s="38"/>
      <c r="D15" s="38"/>
      <c r="E15" s="38"/>
      <c r="F15" s="124">
        <f t="shared" si="2"/>
        <v>34</v>
      </c>
      <c r="G15" s="110"/>
      <c r="H15" s="103">
        <v>1241</v>
      </c>
      <c r="I15" s="103">
        <v>820</v>
      </c>
      <c r="J15" s="103">
        <v>1989</v>
      </c>
      <c r="K15" s="103">
        <f>322+1037</f>
        <v>1359</v>
      </c>
      <c r="L15" s="132">
        <f t="shared" si="1"/>
        <v>5409</v>
      </c>
      <c r="M15" s="127">
        <f t="shared" si="0"/>
        <v>-5375</v>
      </c>
      <c r="N15" s="2">
        <v>97050</v>
      </c>
      <c r="O15" s="1" t="s">
        <v>8</v>
      </c>
      <c r="P15" s="11" t="s">
        <v>35</v>
      </c>
      <c r="Q15" s="4"/>
    </row>
    <row r="16" spans="1:17" ht="15.75" thickBot="1">
      <c r="A16" s="62" t="s">
        <v>19</v>
      </c>
      <c r="B16" s="37">
        <v>56</v>
      </c>
      <c r="C16" s="38"/>
      <c r="D16" s="38"/>
      <c r="E16" s="38"/>
      <c r="F16" s="124">
        <f t="shared" si="2"/>
        <v>56</v>
      </c>
      <c r="G16" s="110"/>
      <c r="H16" s="103">
        <v>1207</v>
      </c>
      <c r="I16" s="103">
        <v>746</v>
      </c>
      <c r="J16" s="103">
        <v>1989</v>
      </c>
      <c r="K16" s="103">
        <f>1057+288</f>
        <v>1345</v>
      </c>
      <c r="L16" s="132">
        <f t="shared" si="1"/>
        <v>5287</v>
      </c>
      <c r="M16" s="127">
        <f t="shared" si="0"/>
        <v>-5231</v>
      </c>
      <c r="N16" s="2">
        <v>96850</v>
      </c>
      <c r="O16" s="1" t="s">
        <v>19</v>
      </c>
      <c r="P16" s="21">
        <f>AVERAGE(M5:M16)</f>
        <v>-4491.166666666667</v>
      </c>
      <c r="Q16" s="4"/>
    </row>
    <row r="17" spans="1:17">
      <c r="A17" s="62" t="s">
        <v>10</v>
      </c>
      <c r="B17" s="37">
        <v>496</v>
      </c>
      <c r="C17" s="38"/>
      <c r="D17" s="38"/>
      <c r="E17" s="38"/>
      <c r="F17" s="124">
        <f t="shared" si="2"/>
        <v>496</v>
      </c>
      <c r="G17" s="110">
        <v>208</v>
      </c>
      <c r="H17" s="103">
        <v>1443</v>
      </c>
      <c r="I17" s="103">
        <v>768</v>
      </c>
      <c r="J17" s="103">
        <v>1989</v>
      </c>
      <c r="K17" s="103">
        <f>1015+218</f>
        <v>1233</v>
      </c>
      <c r="L17" s="132">
        <f t="shared" si="1"/>
        <v>5641</v>
      </c>
      <c r="M17" s="127">
        <f t="shared" si="0"/>
        <v>-5145</v>
      </c>
      <c r="N17" s="2">
        <v>96200</v>
      </c>
      <c r="O17" s="1" t="s">
        <v>10</v>
      </c>
      <c r="P17" s="4"/>
      <c r="Q17" s="4"/>
    </row>
    <row r="18" spans="1:17">
      <c r="A18" s="62" t="s">
        <v>29</v>
      </c>
      <c r="B18" s="37">
        <v>382</v>
      </c>
      <c r="C18" s="38"/>
      <c r="D18" s="38"/>
      <c r="E18" s="38">
        <v>9</v>
      </c>
      <c r="F18" s="124">
        <f t="shared" si="2"/>
        <v>391</v>
      </c>
      <c r="G18" s="110"/>
      <c r="H18" s="103">
        <v>1209</v>
      </c>
      <c r="I18" s="103">
        <v>555</v>
      </c>
      <c r="J18" s="103">
        <v>1989</v>
      </c>
      <c r="K18" s="103">
        <f>1084</f>
        <v>1084</v>
      </c>
      <c r="L18" s="132">
        <f t="shared" si="1"/>
        <v>4837</v>
      </c>
      <c r="M18" s="127">
        <f>SUM(B18:E18)-SUM(G18:K18)</f>
        <v>-4446</v>
      </c>
      <c r="N18" s="119">
        <v>95350</v>
      </c>
      <c r="O18" s="1" t="s">
        <v>29</v>
      </c>
      <c r="P18" s="4"/>
      <c r="Q18" s="4"/>
    </row>
    <row r="19" spans="1:17">
      <c r="A19" s="62" t="s">
        <v>11</v>
      </c>
      <c r="B19" s="37"/>
      <c r="C19" s="38"/>
      <c r="D19" s="38"/>
      <c r="E19" s="38"/>
      <c r="F19" s="124">
        <f t="shared" si="2"/>
        <v>0</v>
      </c>
      <c r="G19" s="110"/>
      <c r="H19" s="103">
        <v>1256</v>
      </c>
      <c r="I19" s="103">
        <v>579</v>
      </c>
      <c r="J19" s="103">
        <v>1987</v>
      </c>
      <c r="K19" s="103">
        <f>1069+77</f>
        <v>1146</v>
      </c>
      <c r="L19" s="132">
        <f t="shared" si="1"/>
        <v>4968</v>
      </c>
      <c r="M19" s="127">
        <f>SUM(B19:E19)-SUM(G19:K19)</f>
        <v>-4968</v>
      </c>
      <c r="N19" s="8">
        <v>93750</v>
      </c>
      <c r="O19" s="1" t="s">
        <v>11</v>
      </c>
      <c r="P19" s="4"/>
      <c r="Q19" s="4"/>
    </row>
    <row r="20" spans="1:17">
      <c r="A20" s="62" t="s">
        <v>33</v>
      </c>
      <c r="B20" s="37">
        <v>817</v>
      </c>
      <c r="C20" s="38"/>
      <c r="D20" s="38"/>
      <c r="E20" s="38">
        <v>260</v>
      </c>
      <c r="F20" s="124">
        <f t="shared" si="2"/>
        <v>1077</v>
      </c>
      <c r="G20" s="110"/>
      <c r="H20" s="103">
        <v>1349</v>
      </c>
      <c r="I20" s="103">
        <v>202</v>
      </c>
      <c r="J20" s="103">
        <v>1980</v>
      </c>
      <c r="K20" s="103">
        <f>1058</f>
        <v>1058</v>
      </c>
      <c r="L20" s="132">
        <f t="shared" si="1"/>
        <v>4589</v>
      </c>
      <c r="M20" s="127">
        <f t="shared" si="0"/>
        <v>-3512</v>
      </c>
      <c r="N20" s="2">
        <v>90700</v>
      </c>
      <c r="O20" s="1" t="s">
        <v>33</v>
      </c>
      <c r="P20" s="4"/>
      <c r="Q20" s="4"/>
    </row>
    <row r="21" spans="1:17">
      <c r="A21" s="62" t="s">
        <v>12</v>
      </c>
      <c r="B21" s="37">
        <v>909</v>
      </c>
      <c r="C21" s="38"/>
      <c r="D21" s="38">
        <v>386</v>
      </c>
      <c r="E21" s="38">
        <v>444</v>
      </c>
      <c r="F21" s="124">
        <f t="shared" si="2"/>
        <v>1739</v>
      </c>
      <c r="G21" s="110"/>
      <c r="H21" s="103">
        <v>1301</v>
      </c>
      <c r="I21" s="103"/>
      <c r="J21" s="103">
        <v>1978</v>
      </c>
      <c r="K21" s="103">
        <f>1014</f>
        <v>1014</v>
      </c>
      <c r="L21" s="132">
        <f t="shared" si="1"/>
        <v>4293</v>
      </c>
      <c r="M21" s="127">
        <f t="shared" si="0"/>
        <v>-2554</v>
      </c>
      <c r="N21" s="2">
        <v>89200</v>
      </c>
      <c r="O21" s="1" t="s">
        <v>12</v>
      </c>
      <c r="P21" s="4"/>
      <c r="Q21" s="4"/>
    </row>
    <row r="22" spans="1:17" ht="15.75" thickBot="1">
      <c r="A22" s="65" t="s">
        <v>20</v>
      </c>
      <c r="B22" s="37">
        <v>1176</v>
      </c>
      <c r="C22" s="38"/>
      <c r="D22" s="38">
        <v>228</v>
      </c>
      <c r="E22" s="38">
        <v>433</v>
      </c>
      <c r="F22" s="124">
        <f t="shared" si="2"/>
        <v>1837</v>
      </c>
      <c r="G22" s="110"/>
      <c r="H22" s="103">
        <v>1180</v>
      </c>
      <c r="I22" s="103"/>
      <c r="J22" s="103">
        <v>1890</v>
      </c>
      <c r="K22" s="103">
        <f>979</f>
        <v>979</v>
      </c>
      <c r="L22" s="132">
        <f t="shared" si="1"/>
        <v>4049</v>
      </c>
      <c r="M22" s="127">
        <f t="shared" si="0"/>
        <v>-2212</v>
      </c>
      <c r="N22" s="2">
        <v>90400</v>
      </c>
      <c r="O22" s="9" t="s">
        <v>20</v>
      </c>
      <c r="P22" s="4"/>
      <c r="Q22" s="5"/>
    </row>
    <row r="23" spans="1:17">
      <c r="A23" s="65" t="s">
        <v>21</v>
      </c>
      <c r="B23" s="37"/>
      <c r="C23" s="38"/>
      <c r="D23" s="38"/>
      <c r="E23" s="38"/>
      <c r="F23" s="124">
        <f t="shared" si="2"/>
        <v>0</v>
      </c>
      <c r="G23" s="110">
        <v>513</v>
      </c>
      <c r="H23" s="103">
        <v>1968</v>
      </c>
      <c r="I23" s="103">
        <v>1127</v>
      </c>
      <c r="J23" s="103">
        <v>1792</v>
      </c>
      <c r="K23" s="103">
        <f>990+694</f>
        <v>1684</v>
      </c>
      <c r="L23" s="132">
        <f t="shared" si="1"/>
        <v>7084</v>
      </c>
      <c r="M23" s="127">
        <f t="shared" si="0"/>
        <v>-7084</v>
      </c>
      <c r="N23" s="2">
        <v>95950</v>
      </c>
      <c r="O23" s="9" t="s">
        <v>21</v>
      </c>
      <c r="P23" s="11" t="s">
        <v>39</v>
      </c>
      <c r="Q23" s="5"/>
    </row>
    <row r="24" spans="1:17" ht="15.75" thickBot="1">
      <c r="A24" s="65" t="s">
        <v>22</v>
      </c>
      <c r="B24" s="37"/>
      <c r="C24" s="38"/>
      <c r="D24" s="38"/>
      <c r="E24" s="38"/>
      <c r="F24" s="124">
        <f t="shared" si="2"/>
        <v>0</v>
      </c>
      <c r="G24" s="110">
        <v>335</v>
      </c>
      <c r="H24" s="103">
        <v>2163</v>
      </c>
      <c r="I24" s="103">
        <v>959</v>
      </c>
      <c r="J24" s="103">
        <v>1795</v>
      </c>
      <c r="K24" s="103">
        <f>929+308</f>
        <v>1237</v>
      </c>
      <c r="L24" s="132">
        <f t="shared" si="1"/>
        <v>6489</v>
      </c>
      <c r="M24" s="127">
        <f t="shared" si="0"/>
        <v>-6489</v>
      </c>
      <c r="N24" s="2">
        <v>99500</v>
      </c>
      <c r="O24" s="9" t="s">
        <v>22</v>
      </c>
      <c r="P24" s="21">
        <f>AVERAGE(K14:K23)</f>
        <v>1265.9000000000001</v>
      </c>
      <c r="Q24" s="5"/>
    </row>
    <row r="25" spans="1:17">
      <c r="A25" s="65" t="s">
        <v>23</v>
      </c>
      <c r="B25" s="37"/>
      <c r="C25" s="38"/>
      <c r="D25" s="38"/>
      <c r="E25" s="38">
        <v>308</v>
      </c>
      <c r="F25" s="124">
        <f t="shared" si="2"/>
        <v>308</v>
      </c>
      <c r="G25" s="110">
        <v>87</v>
      </c>
      <c r="H25" s="103">
        <v>1753</v>
      </c>
      <c r="I25" s="103">
        <v>62</v>
      </c>
      <c r="J25" s="103">
        <v>1984</v>
      </c>
      <c r="K25" s="103">
        <f>1025</f>
        <v>1025</v>
      </c>
      <c r="L25" s="132">
        <f t="shared" si="1"/>
        <v>4911</v>
      </c>
      <c r="M25" s="127">
        <f t="shared" si="0"/>
        <v>-4603</v>
      </c>
      <c r="N25" s="2">
        <v>96100</v>
      </c>
      <c r="O25" s="9" t="s">
        <v>23</v>
      </c>
      <c r="P25" s="4"/>
      <c r="Q25" s="5"/>
    </row>
    <row r="26" spans="1:17" ht="15.75" thickBot="1">
      <c r="A26" s="65" t="s">
        <v>24</v>
      </c>
      <c r="B26" s="37"/>
      <c r="C26" s="38"/>
      <c r="D26" s="38">
        <v>106</v>
      </c>
      <c r="E26" s="38">
        <v>393</v>
      </c>
      <c r="F26" s="124">
        <f t="shared" si="2"/>
        <v>499</v>
      </c>
      <c r="G26" s="110">
        <v>63</v>
      </c>
      <c r="H26" s="103">
        <v>1277</v>
      </c>
      <c r="I26" s="103"/>
      <c r="J26" s="103">
        <v>1983</v>
      </c>
      <c r="K26" s="103">
        <f>1025</f>
        <v>1025</v>
      </c>
      <c r="L26" s="132">
        <f t="shared" si="1"/>
        <v>4348</v>
      </c>
      <c r="M26" s="127">
        <f t="shared" si="0"/>
        <v>-3849</v>
      </c>
      <c r="N26" s="2">
        <v>91850</v>
      </c>
      <c r="O26" s="9" t="s">
        <v>24</v>
      </c>
      <c r="P26" s="4"/>
      <c r="Q26" s="5"/>
    </row>
    <row r="27" spans="1:17">
      <c r="A27" s="65" t="s">
        <v>25</v>
      </c>
      <c r="B27" s="37"/>
      <c r="C27" s="38"/>
      <c r="D27" s="38"/>
      <c r="E27" s="38">
        <v>397</v>
      </c>
      <c r="F27" s="124">
        <f t="shared" si="2"/>
        <v>397</v>
      </c>
      <c r="G27" s="110">
        <v>316</v>
      </c>
      <c r="H27" s="103">
        <v>1153</v>
      </c>
      <c r="I27" s="103">
        <v>152</v>
      </c>
      <c r="J27" s="103">
        <v>1987</v>
      </c>
      <c r="K27" s="103">
        <f>1014</f>
        <v>1014</v>
      </c>
      <c r="L27" s="132">
        <f t="shared" si="1"/>
        <v>4622</v>
      </c>
      <c r="M27" s="127">
        <f t="shared" si="0"/>
        <v>-4225</v>
      </c>
      <c r="N27" s="2">
        <v>89250</v>
      </c>
      <c r="O27" s="9" t="s">
        <v>25</v>
      </c>
      <c r="P27" s="11" t="s">
        <v>36</v>
      </c>
      <c r="Q27" s="5"/>
    </row>
    <row r="28" spans="1:17" ht="15.75" thickBot="1">
      <c r="A28" s="65" t="s">
        <v>26</v>
      </c>
      <c r="B28" s="40"/>
      <c r="C28" s="41"/>
      <c r="D28" s="41"/>
      <c r="E28" s="41">
        <v>51</v>
      </c>
      <c r="F28" s="126">
        <f t="shared" si="2"/>
        <v>51</v>
      </c>
      <c r="G28" s="133">
        <v>320</v>
      </c>
      <c r="H28" s="107">
        <v>1489</v>
      </c>
      <c r="I28" s="107">
        <v>137</v>
      </c>
      <c r="J28" s="107">
        <v>1985</v>
      </c>
      <c r="K28" s="107">
        <f>1016</f>
        <v>1016</v>
      </c>
      <c r="L28" s="134">
        <f t="shared" si="1"/>
        <v>4947</v>
      </c>
      <c r="M28" s="127">
        <f t="shared" si="0"/>
        <v>-4896</v>
      </c>
      <c r="N28" s="2">
        <v>90900</v>
      </c>
      <c r="O28" s="9" t="s">
        <v>26</v>
      </c>
      <c r="P28" s="21">
        <f>AVERAGE(M17:M28)</f>
        <v>-4498.583333333333</v>
      </c>
      <c r="Q28" s="5"/>
    </row>
    <row r="29" spans="1:17">
      <c r="A29" s="68" t="s">
        <v>44</v>
      </c>
      <c r="B29" s="121">
        <f t="shared" ref="B29:M29" si="3">SUM(B5:B28)</f>
        <v>4153</v>
      </c>
      <c r="C29" s="122">
        <f t="shared" si="3"/>
        <v>0</v>
      </c>
      <c r="D29" s="122">
        <f t="shared" si="3"/>
        <v>4416</v>
      </c>
      <c r="E29" s="122">
        <f t="shared" si="3"/>
        <v>4535</v>
      </c>
      <c r="F29" s="123">
        <f t="shared" si="3"/>
        <v>13104</v>
      </c>
      <c r="G29" s="128">
        <f t="shared" si="3"/>
        <v>4051</v>
      </c>
      <c r="H29" s="129">
        <f t="shared" si="3"/>
        <v>31627</v>
      </c>
      <c r="I29" s="129">
        <f t="shared" si="3"/>
        <v>9236</v>
      </c>
      <c r="J29" s="129">
        <f>SUM(J5:J28)</f>
        <v>47199</v>
      </c>
      <c r="K29" s="129">
        <f t="shared" si="3"/>
        <v>28868</v>
      </c>
      <c r="L29" s="130">
        <f>SUM(L5:L28)</f>
        <v>120981</v>
      </c>
      <c r="M29" s="75">
        <f t="shared" si="3"/>
        <v>-107877</v>
      </c>
      <c r="N29" s="81" t="s">
        <v>45</v>
      </c>
    </row>
    <row r="30" spans="1:17" ht="15.75" thickBot="1">
      <c r="A30" s="69"/>
      <c r="B30" s="82"/>
      <c r="C30" s="83"/>
      <c r="D30" s="83"/>
      <c r="E30" s="83"/>
      <c r="F30" s="83"/>
      <c r="G30" s="84"/>
      <c r="H30" s="85"/>
      <c r="I30" s="85"/>
      <c r="J30" s="85"/>
      <c r="K30" s="85"/>
      <c r="L30" s="85"/>
      <c r="M30" s="61"/>
      <c r="N30" s="76">
        <f>0-(G29-B29)</f>
        <v>102</v>
      </c>
    </row>
    <row r="31" spans="1:17">
      <c r="A31" s="69"/>
      <c r="B31" s="2" t="s">
        <v>13</v>
      </c>
      <c r="C31" s="4"/>
      <c r="D31" s="4"/>
      <c r="E31" s="4"/>
      <c r="F31" s="4"/>
      <c r="G31" s="5"/>
      <c r="H31" s="5"/>
      <c r="I31" s="5"/>
      <c r="J31" s="5"/>
      <c r="K31" s="5"/>
      <c r="L31" s="5"/>
      <c r="M31" s="61"/>
    </row>
    <row r="32" spans="1:17">
      <c r="A32" s="33">
        <v>40946</v>
      </c>
      <c r="B32" s="201" t="s">
        <v>42</v>
      </c>
      <c r="C32" s="202"/>
      <c r="D32" s="202"/>
      <c r="E32" s="202"/>
      <c r="F32" s="101" t="s">
        <v>57</v>
      </c>
      <c r="G32" s="205" t="s">
        <v>43</v>
      </c>
      <c r="H32" s="206"/>
      <c r="I32" s="206"/>
      <c r="J32" s="207"/>
      <c r="K32" s="3" t="s">
        <v>56</v>
      </c>
      <c r="L32" s="3" t="s">
        <v>32</v>
      </c>
      <c r="M32" s="1"/>
      <c r="N32" s="1"/>
      <c r="P32" s="1"/>
    </row>
    <row r="33" spans="1:16">
      <c r="A33" s="1"/>
      <c r="B33" s="135" t="s">
        <v>0</v>
      </c>
      <c r="C33" s="6" t="s">
        <v>14</v>
      </c>
      <c r="D33" s="6" t="s">
        <v>15</v>
      </c>
      <c r="E33" s="136" t="s">
        <v>41</v>
      </c>
      <c r="F33" s="137" t="s">
        <v>44</v>
      </c>
      <c r="G33" s="135" t="s">
        <v>0</v>
      </c>
      <c r="H33" s="6" t="s">
        <v>14</v>
      </c>
      <c r="I33" s="6" t="s">
        <v>15</v>
      </c>
      <c r="J33" s="136" t="s">
        <v>41</v>
      </c>
      <c r="K33" s="2" t="s">
        <v>44</v>
      </c>
      <c r="L33" s="7" t="s">
        <v>16</v>
      </c>
      <c r="M33" s="8" t="s">
        <v>27</v>
      </c>
      <c r="N33" s="1"/>
      <c r="P33" s="27" t="s">
        <v>40</v>
      </c>
    </row>
    <row r="34" spans="1:16">
      <c r="A34" s="62" t="s">
        <v>1</v>
      </c>
      <c r="B34" s="45">
        <v>25</v>
      </c>
      <c r="C34" s="46"/>
      <c r="D34" s="46">
        <v>2241</v>
      </c>
      <c r="E34" s="46">
        <f>1886+309</f>
        <v>2195</v>
      </c>
      <c r="F34" s="125">
        <f>SUM(B34:E34)</f>
        <v>4461</v>
      </c>
      <c r="G34" s="108"/>
      <c r="H34" s="106"/>
      <c r="I34" s="106"/>
      <c r="J34" s="109">
        <f>588+1375+801</f>
        <v>2764</v>
      </c>
      <c r="K34" s="142">
        <f t="shared" ref="K34:K57" si="4">SUM(G34:J34)</f>
        <v>2764</v>
      </c>
      <c r="L34" s="88">
        <f t="shared" ref="L34:L57" si="5">SUM(B34:E34)-SUM(G34:J34)</f>
        <v>1697</v>
      </c>
      <c r="M34" s="2">
        <v>42531</v>
      </c>
      <c r="N34" s="1" t="s">
        <v>1</v>
      </c>
      <c r="P34" s="13"/>
    </row>
    <row r="35" spans="1:16">
      <c r="A35" s="62" t="s">
        <v>2</v>
      </c>
      <c r="B35" s="48">
        <v>251</v>
      </c>
      <c r="C35" s="49"/>
      <c r="D35" s="49">
        <v>2381</v>
      </c>
      <c r="E35" s="49">
        <f>1727+207</f>
        <v>1934</v>
      </c>
      <c r="F35" s="124">
        <f>SUM(B35:E35)</f>
        <v>4566</v>
      </c>
      <c r="G35" s="110"/>
      <c r="H35" s="103"/>
      <c r="I35" s="103"/>
      <c r="J35" s="111">
        <f>46+588+1360</f>
        <v>1994</v>
      </c>
      <c r="K35" s="142">
        <f t="shared" si="4"/>
        <v>1994</v>
      </c>
      <c r="L35" s="88">
        <f t="shared" si="5"/>
        <v>2572</v>
      </c>
      <c r="M35" s="2">
        <v>40220</v>
      </c>
      <c r="N35" s="1" t="s">
        <v>2</v>
      </c>
      <c r="P35" s="13"/>
    </row>
    <row r="36" spans="1:16">
      <c r="A36" s="62" t="s">
        <v>3</v>
      </c>
      <c r="B36" s="48"/>
      <c r="C36" s="49"/>
      <c r="D36" s="49">
        <v>2460</v>
      </c>
      <c r="E36" s="49">
        <f>320+1769</f>
        <v>2089</v>
      </c>
      <c r="F36" s="124">
        <f t="shared" ref="F36:F57" si="6">SUM(B36:E36)</f>
        <v>4549</v>
      </c>
      <c r="G36" s="110">
        <v>193</v>
      </c>
      <c r="H36" s="103"/>
      <c r="I36" s="103"/>
      <c r="J36" s="111">
        <f>1380+588+772</f>
        <v>2740</v>
      </c>
      <c r="K36" s="142">
        <f t="shared" si="4"/>
        <v>2933</v>
      </c>
      <c r="L36" s="88">
        <f t="shared" si="5"/>
        <v>1616</v>
      </c>
      <c r="M36" s="2">
        <v>38907</v>
      </c>
      <c r="N36" s="1" t="s">
        <v>3</v>
      </c>
      <c r="P36" s="13"/>
    </row>
    <row r="37" spans="1:16">
      <c r="A37" s="62" t="s">
        <v>4</v>
      </c>
      <c r="B37" s="48"/>
      <c r="C37" s="49"/>
      <c r="D37" s="49">
        <v>2566</v>
      </c>
      <c r="E37" s="49">
        <f>1808+300</f>
        <v>2108</v>
      </c>
      <c r="F37" s="124">
        <f t="shared" si="6"/>
        <v>4674</v>
      </c>
      <c r="G37" s="110">
        <v>35</v>
      </c>
      <c r="H37" s="103"/>
      <c r="I37" s="103"/>
      <c r="J37" s="111">
        <f>1378+583+830</f>
        <v>2791</v>
      </c>
      <c r="K37" s="142">
        <f t="shared" si="4"/>
        <v>2826</v>
      </c>
      <c r="L37" s="88">
        <f t="shared" si="5"/>
        <v>1848</v>
      </c>
      <c r="M37" s="2">
        <v>38227</v>
      </c>
      <c r="N37" s="1" t="s">
        <v>4</v>
      </c>
      <c r="P37" s="13"/>
    </row>
    <row r="38" spans="1:16">
      <c r="A38" s="62" t="s">
        <v>28</v>
      </c>
      <c r="B38" s="48"/>
      <c r="C38" s="49"/>
      <c r="D38" s="49">
        <v>2447</v>
      </c>
      <c r="E38" s="49">
        <f>1910+303</f>
        <v>2213</v>
      </c>
      <c r="F38" s="124">
        <f t="shared" si="6"/>
        <v>4660</v>
      </c>
      <c r="G38" s="110">
        <v>55</v>
      </c>
      <c r="H38" s="103"/>
      <c r="I38" s="103"/>
      <c r="J38" s="111">
        <f>686+366+1375</f>
        <v>2427</v>
      </c>
      <c r="K38" s="142">
        <f t="shared" si="4"/>
        <v>2482</v>
      </c>
      <c r="L38" s="88">
        <f t="shared" si="5"/>
        <v>2178</v>
      </c>
      <c r="M38" s="2">
        <v>38573</v>
      </c>
      <c r="N38" s="1" t="s">
        <v>28</v>
      </c>
      <c r="P38" s="13"/>
    </row>
    <row r="39" spans="1:16">
      <c r="A39" s="62" t="s">
        <v>5</v>
      </c>
      <c r="B39" s="48">
        <v>129</v>
      </c>
      <c r="C39" s="49"/>
      <c r="D39" s="49">
        <v>2316</v>
      </c>
      <c r="E39" s="49">
        <f>1700+431</f>
        <v>2131</v>
      </c>
      <c r="F39" s="124">
        <f t="shared" si="6"/>
        <v>4576</v>
      </c>
      <c r="G39" s="110"/>
      <c r="H39" s="103"/>
      <c r="I39" s="103"/>
      <c r="J39" s="111">
        <f>635+98+1161</f>
        <v>1894</v>
      </c>
      <c r="K39" s="142">
        <f t="shared" si="4"/>
        <v>1894</v>
      </c>
      <c r="L39" s="88">
        <f t="shared" si="5"/>
        <v>2682</v>
      </c>
      <c r="M39" s="119">
        <v>40879</v>
      </c>
      <c r="N39" s="1" t="s">
        <v>5</v>
      </c>
      <c r="P39" s="13"/>
    </row>
    <row r="40" spans="1:16" ht="15.75" thickBot="1">
      <c r="A40" s="62" t="s">
        <v>9</v>
      </c>
      <c r="B40" s="48">
        <v>323</v>
      </c>
      <c r="C40" s="49"/>
      <c r="D40" s="49">
        <v>2227</v>
      </c>
      <c r="E40" s="49">
        <f>1996+620+1517</f>
        <v>4133</v>
      </c>
      <c r="F40" s="124">
        <f t="shared" si="6"/>
        <v>6683</v>
      </c>
      <c r="G40" s="110"/>
      <c r="H40" s="103"/>
      <c r="I40" s="103"/>
      <c r="J40" s="111">
        <f>880+307</f>
        <v>1187</v>
      </c>
      <c r="K40" s="142">
        <f t="shared" si="4"/>
        <v>1187</v>
      </c>
      <c r="L40" s="88">
        <f t="shared" si="5"/>
        <v>5496</v>
      </c>
      <c r="M40" s="2">
        <v>46110</v>
      </c>
      <c r="N40" s="1" t="s">
        <v>9</v>
      </c>
      <c r="P40" s="28"/>
    </row>
    <row r="41" spans="1:16">
      <c r="A41" s="62" t="s">
        <v>6</v>
      </c>
      <c r="B41" s="48">
        <v>413</v>
      </c>
      <c r="C41" s="49"/>
      <c r="D41" s="49">
        <v>1728</v>
      </c>
      <c r="E41" s="49">
        <f>759+764</f>
        <v>1523</v>
      </c>
      <c r="F41" s="124">
        <f t="shared" si="6"/>
        <v>3664</v>
      </c>
      <c r="G41" s="110"/>
      <c r="H41" s="103"/>
      <c r="I41" s="103"/>
      <c r="J41" s="111">
        <f>44+238+335</f>
        <v>617</v>
      </c>
      <c r="K41" s="142">
        <f t="shared" si="4"/>
        <v>617</v>
      </c>
      <c r="L41" s="88">
        <f t="shared" si="5"/>
        <v>3047</v>
      </c>
      <c r="M41" s="2">
        <v>51148</v>
      </c>
      <c r="N41" s="1" t="s">
        <v>6</v>
      </c>
      <c r="P41" s="104" t="s">
        <v>38</v>
      </c>
    </row>
    <row r="42" spans="1:16" ht="15.75" thickBot="1">
      <c r="A42" s="62" t="s">
        <v>34</v>
      </c>
      <c r="B42" s="48">
        <v>329</v>
      </c>
      <c r="C42" s="49"/>
      <c r="D42" s="49">
        <v>1421</v>
      </c>
      <c r="E42" s="49">
        <f>879+22+285</f>
        <v>1186</v>
      </c>
      <c r="F42" s="124">
        <f t="shared" si="6"/>
        <v>2936</v>
      </c>
      <c r="G42" s="110"/>
      <c r="H42" s="103"/>
      <c r="I42" s="103"/>
      <c r="J42" s="111">
        <f>189+379</f>
        <v>568</v>
      </c>
      <c r="K42" s="142">
        <f t="shared" si="4"/>
        <v>568</v>
      </c>
      <c r="L42" s="89">
        <f t="shared" si="5"/>
        <v>2368</v>
      </c>
      <c r="M42" s="2">
        <v>52635</v>
      </c>
      <c r="N42" s="1" t="s">
        <v>34</v>
      </c>
      <c r="P42" s="114">
        <f>AVERAGE(J53:J57,J34:J42)</f>
        <v>1830.4285714285713</v>
      </c>
    </row>
    <row r="43" spans="1:16" ht="15.75" thickBot="1">
      <c r="A43" s="62" t="s">
        <v>7</v>
      </c>
      <c r="B43" s="48">
        <v>739</v>
      </c>
      <c r="C43" s="49"/>
      <c r="D43" s="49">
        <v>1610</v>
      </c>
      <c r="E43" s="49">
        <f>1129+586</f>
        <v>1715</v>
      </c>
      <c r="F43" s="124">
        <f t="shared" si="6"/>
        <v>4064</v>
      </c>
      <c r="G43" s="110"/>
      <c r="H43" s="103"/>
      <c r="I43" s="103"/>
      <c r="J43" s="111">
        <f>606+235+174</f>
        <v>1015</v>
      </c>
      <c r="K43" s="142">
        <f t="shared" si="4"/>
        <v>1015</v>
      </c>
      <c r="L43" s="88">
        <f t="shared" si="5"/>
        <v>3049</v>
      </c>
      <c r="M43" s="2">
        <v>52240</v>
      </c>
      <c r="N43" s="1" t="s">
        <v>7</v>
      </c>
      <c r="P43" s="29"/>
    </row>
    <row r="44" spans="1:16">
      <c r="A44" s="62" t="s">
        <v>8</v>
      </c>
      <c r="B44" s="48"/>
      <c r="C44" s="49"/>
      <c r="D44" s="49">
        <v>1131</v>
      </c>
      <c r="E44" s="49">
        <f>191+1093+391+603</f>
        <v>2278</v>
      </c>
      <c r="F44" s="124">
        <f t="shared" si="6"/>
        <v>3409</v>
      </c>
      <c r="G44" s="110">
        <v>34</v>
      </c>
      <c r="H44" s="103"/>
      <c r="I44" s="103"/>
      <c r="J44" s="111">
        <f>802</f>
        <v>802</v>
      </c>
      <c r="K44" s="142">
        <f t="shared" si="4"/>
        <v>836</v>
      </c>
      <c r="L44" s="88">
        <f t="shared" si="5"/>
        <v>2573</v>
      </c>
      <c r="M44" s="2">
        <v>50971</v>
      </c>
      <c r="N44" s="1" t="s">
        <v>8</v>
      </c>
      <c r="P44" s="104" t="s">
        <v>35</v>
      </c>
    </row>
    <row r="45" spans="1:16" ht="15.75" thickBot="1">
      <c r="A45" s="62" t="s">
        <v>19</v>
      </c>
      <c r="B45" s="48"/>
      <c r="C45" s="49"/>
      <c r="D45" s="49">
        <v>960</v>
      </c>
      <c r="E45" s="49">
        <f>596+425+1162</f>
        <v>2183</v>
      </c>
      <c r="F45" s="124">
        <f t="shared" si="6"/>
        <v>3143</v>
      </c>
      <c r="G45" s="110">
        <v>56</v>
      </c>
      <c r="H45" s="103"/>
      <c r="I45" s="103"/>
      <c r="J45" s="111">
        <f>791+121</f>
        <v>912</v>
      </c>
      <c r="K45" s="142">
        <f t="shared" si="4"/>
        <v>968</v>
      </c>
      <c r="L45" s="88">
        <f t="shared" si="5"/>
        <v>2175</v>
      </c>
      <c r="M45" s="2">
        <v>51966</v>
      </c>
      <c r="N45" s="1" t="s">
        <v>19</v>
      </c>
      <c r="P45" s="114">
        <f>AVERAGE(L34:L45)</f>
        <v>2608.4166666666665</v>
      </c>
    </row>
    <row r="46" spans="1:16">
      <c r="A46" s="62" t="s">
        <v>10</v>
      </c>
      <c r="B46" s="48">
        <v>208</v>
      </c>
      <c r="C46" s="49"/>
      <c r="D46" s="49">
        <v>951</v>
      </c>
      <c r="E46" s="49">
        <f>756+445+1331</f>
        <v>2532</v>
      </c>
      <c r="F46" s="124">
        <f t="shared" si="6"/>
        <v>3691</v>
      </c>
      <c r="G46" s="110"/>
      <c r="H46" s="103"/>
      <c r="I46" s="103"/>
      <c r="J46" s="111">
        <f>795+108</f>
        <v>903</v>
      </c>
      <c r="K46" s="142">
        <f t="shared" si="4"/>
        <v>903</v>
      </c>
      <c r="L46" s="88">
        <f t="shared" si="5"/>
        <v>2788</v>
      </c>
      <c r="M46" s="2">
        <v>51008</v>
      </c>
      <c r="N46" s="1" t="s">
        <v>10</v>
      </c>
      <c r="P46" s="30"/>
    </row>
    <row r="47" spans="1:16">
      <c r="A47" s="62" t="s">
        <v>29</v>
      </c>
      <c r="B47" s="48"/>
      <c r="C47" s="49"/>
      <c r="D47" s="49">
        <v>674</v>
      </c>
      <c r="E47" s="49">
        <f>625+545+1297</f>
        <v>2467</v>
      </c>
      <c r="F47" s="124">
        <f t="shared" si="6"/>
        <v>3141</v>
      </c>
      <c r="G47" s="110">
        <v>382</v>
      </c>
      <c r="H47" s="103"/>
      <c r="I47" s="103"/>
      <c r="J47" s="111">
        <f>861+100</f>
        <v>961</v>
      </c>
      <c r="K47" s="142">
        <f t="shared" si="4"/>
        <v>1343</v>
      </c>
      <c r="L47" s="88">
        <f t="shared" si="5"/>
        <v>1798</v>
      </c>
      <c r="M47" s="119">
        <v>50392</v>
      </c>
      <c r="N47" s="1" t="s">
        <v>29</v>
      </c>
      <c r="P47" s="13"/>
    </row>
    <row r="48" spans="1:16">
      <c r="A48" s="62" t="s">
        <v>11</v>
      </c>
      <c r="B48" s="48"/>
      <c r="C48" s="49"/>
      <c r="D48" s="49">
        <v>867</v>
      </c>
      <c r="E48" s="49">
        <f>949+216+1374</f>
        <v>2539</v>
      </c>
      <c r="F48" s="124">
        <f t="shared" si="6"/>
        <v>3406</v>
      </c>
      <c r="G48" s="110">
        <v>496</v>
      </c>
      <c r="H48" s="103"/>
      <c r="I48" s="103"/>
      <c r="J48" s="111">
        <f>855+318</f>
        <v>1173</v>
      </c>
      <c r="K48" s="142">
        <f t="shared" si="4"/>
        <v>1669</v>
      </c>
      <c r="L48" s="88">
        <f t="shared" si="5"/>
        <v>1737</v>
      </c>
      <c r="M48" s="2">
        <v>49557</v>
      </c>
      <c r="N48" s="1" t="s">
        <v>11</v>
      </c>
      <c r="P48" s="13"/>
    </row>
    <row r="49" spans="1:16">
      <c r="A49" s="62" t="s">
        <v>33</v>
      </c>
      <c r="B49" s="48"/>
      <c r="C49" s="49"/>
      <c r="D49" s="49">
        <v>1000</v>
      </c>
      <c r="E49" s="49">
        <f>1328+1117+1224</f>
        <v>3669</v>
      </c>
      <c r="F49" s="124">
        <f t="shared" si="6"/>
        <v>4669</v>
      </c>
      <c r="G49" s="110">
        <v>817</v>
      </c>
      <c r="H49" s="103"/>
      <c r="I49" s="103"/>
      <c r="J49" s="111">
        <f>858+164</f>
        <v>1022</v>
      </c>
      <c r="K49" s="142">
        <f t="shared" si="4"/>
        <v>1839</v>
      </c>
      <c r="L49" s="89">
        <f t="shared" si="5"/>
        <v>2830</v>
      </c>
      <c r="M49" s="2">
        <v>49799</v>
      </c>
      <c r="N49" s="1" t="s">
        <v>33</v>
      </c>
      <c r="P49" s="13"/>
    </row>
    <row r="50" spans="1:16">
      <c r="A50" s="62" t="s">
        <v>12</v>
      </c>
      <c r="B50" s="48"/>
      <c r="C50" s="49"/>
      <c r="D50" s="49">
        <v>1328</v>
      </c>
      <c r="E50" s="49">
        <f>1419+718+1417</f>
        <v>3554</v>
      </c>
      <c r="F50" s="124">
        <f t="shared" si="6"/>
        <v>4882</v>
      </c>
      <c r="G50" s="110">
        <v>909</v>
      </c>
      <c r="H50" s="103"/>
      <c r="I50" s="103"/>
      <c r="J50" s="111">
        <f>437+14</f>
        <v>451</v>
      </c>
      <c r="K50" s="142">
        <f t="shared" si="4"/>
        <v>1360</v>
      </c>
      <c r="L50" s="88">
        <f t="shared" si="5"/>
        <v>3522</v>
      </c>
      <c r="M50" s="2">
        <v>50282</v>
      </c>
      <c r="N50" s="1" t="s">
        <v>12</v>
      </c>
      <c r="P50" s="13"/>
    </row>
    <row r="51" spans="1:16" ht="15.75" thickBot="1">
      <c r="A51" s="65" t="s">
        <v>20</v>
      </c>
      <c r="B51" s="48"/>
      <c r="C51" s="49"/>
      <c r="D51" s="49">
        <v>1142</v>
      </c>
      <c r="E51" s="49">
        <f>1359+285+384+1372</f>
        <v>3400</v>
      </c>
      <c r="F51" s="124">
        <f t="shared" si="6"/>
        <v>4542</v>
      </c>
      <c r="G51" s="110">
        <v>1176</v>
      </c>
      <c r="H51" s="103"/>
      <c r="I51" s="103"/>
      <c r="J51" s="111">
        <v>40</v>
      </c>
      <c r="K51" s="142">
        <f t="shared" si="4"/>
        <v>1216</v>
      </c>
      <c r="L51" s="88">
        <f t="shared" si="5"/>
        <v>3326</v>
      </c>
      <c r="M51" s="2">
        <v>52397</v>
      </c>
      <c r="N51" s="9" t="s">
        <v>20</v>
      </c>
      <c r="P51" s="28"/>
    </row>
    <row r="52" spans="1:16">
      <c r="A52" s="65" t="s">
        <v>21</v>
      </c>
      <c r="B52" s="48">
        <v>513</v>
      </c>
      <c r="C52" s="49"/>
      <c r="D52" s="49">
        <v>1505</v>
      </c>
      <c r="E52" s="49">
        <f>799+30+1279</f>
        <v>2108</v>
      </c>
      <c r="F52" s="124">
        <f t="shared" si="6"/>
        <v>4126</v>
      </c>
      <c r="G52" s="110"/>
      <c r="H52" s="103"/>
      <c r="I52" s="103"/>
      <c r="J52" s="111">
        <f>37+301</f>
        <v>338</v>
      </c>
      <c r="K52" s="142">
        <f t="shared" si="4"/>
        <v>338</v>
      </c>
      <c r="L52" s="88">
        <f t="shared" si="5"/>
        <v>3788</v>
      </c>
      <c r="M52" s="2">
        <v>52819</v>
      </c>
      <c r="N52" s="9" t="s">
        <v>21</v>
      </c>
      <c r="P52" s="104" t="s">
        <v>39</v>
      </c>
    </row>
    <row r="53" spans="1:16" ht="15.75" thickBot="1">
      <c r="A53" s="65" t="s">
        <v>22</v>
      </c>
      <c r="B53" s="48">
        <v>335</v>
      </c>
      <c r="C53" s="49"/>
      <c r="D53" s="49">
        <v>1596</v>
      </c>
      <c r="E53" s="49">
        <f>1426+228+895</f>
        <v>2549</v>
      </c>
      <c r="F53" s="124">
        <f t="shared" si="6"/>
        <v>4480</v>
      </c>
      <c r="G53" s="110"/>
      <c r="H53" s="103"/>
      <c r="I53" s="103"/>
      <c r="J53" s="111">
        <f>810+147</f>
        <v>957</v>
      </c>
      <c r="K53" s="142">
        <f t="shared" si="4"/>
        <v>957</v>
      </c>
      <c r="L53" s="88">
        <f t="shared" si="5"/>
        <v>3523</v>
      </c>
      <c r="M53" s="2">
        <v>51382</v>
      </c>
      <c r="N53" s="9" t="s">
        <v>22</v>
      </c>
      <c r="P53" s="114">
        <f>AVERAGE(J43:J52)</f>
        <v>761.7</v>
      </c>
    </row>
    <row r="54" spans="1:16">
      <c r="A54" s="65" t="s">
        <v>23</v>
      </c>
      <c r="B54" s="48">
        <v>87</v>
      </c>
      <c r="C54" s="49"/>
      <c r="D54" s="49">
        <v>2041</v>
      </c>
      <c r="E54" s="49">
        <f>1350+63+1427</f>
        <v>2840</v>
      </c>
      <c r="F54" s="124">
        <f t="shared" si="6"/>
        <v>4968</v>
      </c>
      <c r="G54" s="110"/>
      <c r="H54" s="103"/>
      <c r="I54" s="103"/>
      <c r="J54" s="111">
        <f>570+859</f>
        <v>1429</v>
      </c>
      <c r="K54" s="142">
        <f t="shared" si="4"/>
        <v>1429</v>
      </c>
      <c r="L54" s="88">
        <f t="shared" si="5"/>
        <v>3539</v>
      </c>
      <c r="M54" s="2">
        <v>48820</v>
      </c>
      <c r="N54" s="9" t="s">
        <v>23</v>
      </c>
      <c r="P54" s="30"/>
    </row>
    <row r="55" spans="1:16" ht="15.75" thickBot="1">
      <c r="A55" s="65" t="s">
        <v>24</v>
      </c>
      <c r="B55" s="48">
        <v>63</v>
      </c>
      <c r="C55" s="49"/>
      <c r="D55" s="49">
        <v>2440</v>
      </c>
      <c r="E55" s="49">
        <f>1549+850</f>
        <v>2399</v>
      </c>
      <c r="F55" s="124">
        <f t="shared" si="6"/>
        <v>4902</v>
      </c>
      <c r="G55" s="110"/>
      <c r="H55" s="103"/>
      <c r="I55" s="103"/>
      <c r="J55" s="111">
        <f>845+587+428</f>
        <v>1860</v>
      </c>
      <c r="K55" s="142">
        <f t="shared" si="4"/>
        <v>1860</v>
      </c>
      <c r="L55" s="88">
        <f t="shared" si="5"/>
        <v>3042</v>
      </c>
      <c r="M55" s="2">
        <v>46795</v>
      </c>
      <c r="N55" s="9" t="s">
        <v>24</v>
      </c>
      <c r="P55" s="28"/>
    </row>
    <row r="56" spans="1:16">
      <c r="A56" s="65" t="s">
        <v>25</v>
      </c>
      <c r="B56" s="48">
        <v>316</v>
      </c>
      <c r="C56" s="49"/>
      <c r="D56" s="49">
        <v>2574</v>
      </c>
      <c r="E56" s="49">
        <f>1304+571</f>
        <v>1875</v>
      </c>
      <c r="F56" s="124">
        <f t="shared" si="6"/>
        <v>4765</v>
      </c>
      <c r="G56" s="110"/>
      <c r="H56" s="103"/>
      <c r="I56" s="103"/>
      <c r="J56" s="111">
        <f>759+587+865</f>
        <v>2211</v>
      </c>
      <c r="K56" s="142">
        <f t="shared" si="4"/>
        <v>2211</v>
      </c>
      <c r="L56" s="88">
        <f t="shared" si="5"/>
        <v>2554</v>
      </c>
      <c r="M56" s="2">
        <v>45439</v>
      </c>
      <c r="N56" s="9" t="s">
        <v>25</v>
      </c>
      <c r="P56" s="104" t="s">
        <v>36</v>
      </c>
    </row>
    <row r="57" spans="1:16" ht="15.75" thickBot="1">
      <c r="A57" s="65" t="s">
        <v>26</v>
      </c>
      <c r="B57" s="140">
        <v>320</v>
      </c>
      <c r="C57" s="141"/>
      <c r="D57" s="141">
        <v>2496</v>
      </c>
      <c r="E57" s="141">
        <f>1668+601</f>
        <v>2269</v>
      </c>
      <c r="F57" s="126">
        <f t="shared" si="6"/>
        <v>5085</v>
      </c>
      <c r="G57" s="133"/>
      <c r="H57" s="107"/>
      <c r="I57" s="107"/>
      <c r="J57" s="143">
        <f>802+537+848</f>
        <v>2187</v>
      </c>
      <c r="K57" s="142">
        <f t="shared" si="4"/>
        <v>2187</v>
      </c>
      <c r="L57" s="88">
        <f t="shared" si="5"/>
        <v>2898</v>
      </c>
      <c r="M57" s="2">
        <v>42156</v>
      </c>
      <c r="N57" s="9" t="s">
        <v>26</v>
      </c>
      <c r="P57" s="114">
        <f>AVERAGE(L46:L57)</f>
        <v>2945.4166666666665</v>
      </c>
    </row>
    <row r="58" spans="1:16">
      <c r="A58" s="66" t="s">
        <v>44</v>
      </c>
      <c r="B58" s="138">
        <f t="shared" ref="B58:K58" si="7">SUM(B34:B57)</f>
        <v>4051</v>
      </c>
      <c r="C58" s="139">
        <f t="shared" si="7"/>
        <v>0</v>
      </c>
      <c r="D58" s="139">
        <f t="shared" si="7"/>
        <v>42102</v>
      </c>
      <c r="E58" s="139">
        <f t="shared" si="7"/>
        <v>57889</v>
      </c>
      <c r="F58" s="130">
        <f t="shared" si="7"/>
        <v>104042</v>
      </c>
      <c r="G58" s="138">
        <f t="shared" si="7"/>
        <v>4153</v>
      </c>
      <c r="H58" s="139">
        <f t="shared" si="7"/>
        <v>0</v>
      </c>
      <c r="I58" s="139">
        <f t="shared" si="7"/>
        <v>0</v>
      </c>
      <c r="J58" s="139">
        <f>SUM(J34:J57)</f>
        <v>33243</v>
      </c>
      <c r="K58" s="118">
        <f t="shared" si="7"/>
        <v>37396</v>
      </c>
      <c r="L58" s="77">
        <f>SUM(L34:L57)</f>
        <v>66646</v>
      </c>
      <c r="M58" s="80" t="s">
        <v>46</v>
      </c>
    </row>
    <row r="59" spans="1:16" ht="15.75" thickBot="1">
      <c r="A59" s="16"/>
      <c r="B59" s="8" t="s">
        <v>0</v>
      </c>
      <c r="C59" s="2" t="s">
        <v>14</v>
      </c>
      <c r="D59" s="2" t="s">
        <v>15</v>
      </c>
      <c r="E59" s="14" t="s">
        <v>41</v>
      </c>
      <c r="F59" s="14"/>
      <c r="G59" s="8" t="s">
        <v>0</v>
      </c>
      <c r="H59" s="2" t="s">
        <v>14</v>
      </c>
      <c r="I59" s="2" t="s">
        <v>15</v>
      </c>
      <c r="J59" s="14" t="s">
        <v>41</v>
      </c>
      <c r="K59" s="2" t="s">
        <v>44</v>
      </c>
      <c r="L59" s="7" t="s">
        <v>16</v>
      </c>
      <c r="M59" s="78">
        <f>B58-G58</f>
        <v>-102</v>
      </c>
    </row>
    <row r="60" spans="1:16">
      <c r="B60" s="201" t="s">
        <v>42</v>
      </c>
      <c r="C60" s="202"/>
      <c r="D60" s="202"/>
      <c r="E60" s="202"/>
      <c r="F60" s="117"/>
      <c r="G60" s="205" t="s">
        <v>43</v>
      </c>
      <c r="H60" s="206"/>
      <c r="I60" s="206"/>
      <c r="J60" s="207"/>
      <c r="K60" s="3" t="s">
        <v>56</v>
      </c>
      <c r="L60" s="3" t="s">
        <v>32</v>
      </c>
    </row>
  </sheetData>
  <mergeCells count="6">
    <mergeCell ref="B60:E60"/>
    <mergeCell ref="G60:J60"/>
    <mergeCell ref="B3:E3"/>
    <mergeCell ref="G3:K3"/>
    <mergeCell ref="B32:E32"/>
    <mergeCell ref="G32:J32"/>
  </mergeCells>
  <phoneticPr fontId="8" type="noConversion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&amp;Lben_8:02:2012&amp;CStromaustausch in MW&amp;R&amp;"Calibri,Fett"Quelle:&amp;"Calibri,Standard" &amp;Uentsoe.net</oddHeader>
    <oddFooter>Seite &amp;P von &amp;N</oddFooter>
  </headerFooter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60"/>
  <sheetViews>
    <sheetView topLeftCell="A16" workbookViewId="0">
      <selection activeCell="J62" sqref="J62:M65"/>
    </sheetView>
  </sheetViews>
  <sheetFormatPr baseColWidth="10" defaultRowHeight="15"/>
  <cols>
    <col min="2" max="2" width="6" bestFit="1" customWidth="1"/>
    <col min="3" max="3" width="4.85546875" bestFit="1" customWidth="1"/>
    <col min="4" max="4" width="6" bestFit="1" customWidth="1"/>
    <col min="5" max="5" width="12.28515625" bestFit="1" customWidth="1"/>
    <col min="6" max="6" width="8.28515625" bestFit="1" customWidth="1"/>
    <col min="7" max="9" width="6" bestFit="1" customWidth="1"/>
    <col min="10" max="10" width="12.28515625" bestFit="1" customWidth="1"/>
    <col min="11" max="11" width="8.7109375" bestFit="1" customWidth="1"/>
    <col min="12" max="12" width="8.28515625" bestFit="1" customWidth="1"/>
    <col min="13" max="14" width="12.7109375" bestFit="1" customWidth="1"/>
    <col min="15" max="15" width="8.85546875" bestFit="1" customWidth="1"/>
    <col min="16" max="16" width="16.85546875" bestFit="1" customWidth="1"/>
  </cols>
  <sheetData>
    <row r="2" spans="1:16" ht="15.75" thickBot="1">
      <c r="B2" s="6" t="s">
        <v>0</v>
      </c>
    </row>
    <row r="3" spans="1:16">
      <c r="A3" s="33">
        <v>40947</v>
      </c>
      <c r="B3" s="201" t="s">
        <v>42</v>
      </c>
      <c r="C3" s="202"/>
      <c r="D3" s="202"/>
      <c r="E3" s="202"/>
      <c r="F3" s="2" t="s">
        <v>57</v>
      </c>
      <c r="G3" s="200" t="s">
        <v>43</v>
      </c>
      <c r="H3" s="200"/>
      <c r="I3" s="200"/>
      <c r="J3" s="200"/>
      <c r="K3" s="200"/>
      <c r="L3" s="2" t="s">
        <v>56</v>
      </c>
      <c r="M3" s="2" t="s">
        <v>32</v>
      </c>
      <c r="N3" s="1"/>
      <c r="O3" s="1"/>
      <c r="P3" s="10"/>
    </row>
    <row r="4" spans="1:16">
      <c r="A4" s="1"/>
      <c r="B4" s="6" t="s">
        <v>13</v>
      </c>
      <c r="C4" s="6" t="s">
        <v>14</v>
      </c>
      <c r="D4" s="6" t="s">
        <v>15</v>
      </c>
      <c r="E4" s="120" t="s">
        <v>18</v>
      </c>
      <c r="F4" s="120" t="s">
        <v>44</v>
      </c>
      <c r="G4" s="6" t="s">
        <v>13</v>
      </c>
      <c r="H4" s="6" t="s">
        <v>14</v>
      </c>
      <c r="I4" s="6" t="s">
        <v>15</v>
      </c>
      <c r="J4" s="6" t="s">
        <v>53</v>
      </c>
      <c r="K4" s="120" t="s">
        <v>55</v>
      </c>
      <c r="L4" s="120" t="s">
        <v>44</v>
      </c>
      <c r="M4" s="7" t="s">
        <v>16</v>
      </c>
      <c r="N4" s="8" t="s">
        <v>27</v>
      </c>
      <c r="O4" s="1"/>
      <c r="P4" s="27" t="s">
        <v>40</v>
      </c>
    </row>
    <row r="5" spans="1:16">
      <c r="A5" s="62" t="s">
        <v>1</v>
      </c>
      <c r="B5" s="35"/>
      <c r="C5" s="36"/>
      <c r="D5" s="36">
        <v>249</v>
      </c>
      <c r="E5" s="154"/>
      <c r="F5" s="125">
        <f>SUM(B5:E5)</f>
        <v>249</v>
      </c>
      <c r="G5" s="148">
        <v>831</v>
      </c>
      <c r="H5" s="149">
        <v>978</v>
      </c>
      <c r="I5" s="149"/>
      <c r="J5" s="149">
        <v>1988</v>
      </c>
      <c r="K5" s="162">
        <f>1048+31</f>
        <v>1079</v>
      </c>
      <c r="L5" s="158">
        <f>SUM(G5:K5)</f>
        <v>4876</v>
      </c>
      <c r="M5" s="127">
        <f t="shared" ref="M5:M28" si="0">SUM(B5:E5)-SUM(G5:K5)</f>
        <v>-4627</v>
      </c>
      <c r="N5" s="1">
        <v>89550</v>
      </c>
      <c r="O5" s="1" t="s">
        <v>1</v>
      </c>
      <c r="P5" s="13"/>
    </row>
    <row r="6" spans="1:16">
      <c r="A6" s="62" t="s">
        <v>2</v>
      </c>
      <c r="B6" s="37"/>
      <c r="C6" s="38"/>
      <c r="D6" s="38">
        <v>196</v>
      </c>
      <c r="E6" s="51"/>
      <c r="F6" s="124">
        <f>SUM(B6:E6)</f>
        <v>196</v>
      </c>
      <c r="G6" s="150">
        <v>1036</v>
      </c>
      <c r="H6" s="151">
        <v>1164</v>
      </c>
      <c r="I6" s="151"/>
      <c r="J6" s="151">
        <v>1989</v>
      </c>
      <c r="K6" s="163">
        <f>1137+54</f>
        <v>1191</v>
      </c>
      <c r="L6" s="159">
        <f>SUM(G6:K6)</f>
        <v>5380</v>
      </c>
      <c r="M6" s="127">
        <f t="shared" si="0"/>
        <v>-5184</v>
      </c>
      <c r="N6" s="1">
        <v>87450</v>
      </c>
      <c r="O6" s="1" t="s">
        <v>2</v>
      </c>
      <c r="P6" s="13"/>
    </row>
    <row r="7" spans="1:16">
      <c r="A7" s="62" t="s">
        <v>3</v>
      </c>
      <c r="B7" s="37"/>
      <c r="C7" s="38"/>
      <c r="D7" s="38">
        <v>341</v>
      </c>
      <c r="E7" s="51">
        <v>148</v>
      </c>
      <c r="F7" s="124">
        <f t="shared" ref="F7:F28" si="1">SUM(B7:E7)</f>
        <v>489</v>
      </c>
      <c r="G7" s="150">
        <v>757</v>
      </c>
      <c r="H7" s="151">
        <v>998</v>
      </c>
      <c r="I7" s="151"/>
      <c r="J7" s="151">
        <v>1989</v>
      </c>
      <c r="K7" s="163">
        <f>1134</f>
        <v>1134</v>
      </c>
      <c r="L7" s="159">
        <f t="shared" ref="L7:L28" si="2">SUM(G7:K7)</f>
        <v>4878</v>
      </c>
      <c r="M7" s="127">
        <f t="shared" si="0"/>
        <v>-4389</v>
      </c>
      <c r="N7" s="1">
        <v>87900</v>
      </c>
      <c r="O7" s="1" t="s">
        <v>3</v>
      </c>
      <c r="P7" s="13"/>
    </row>
    <row r="8" spans="1:16">
      <c r="A8" s="62" t="s">
        <v>4</v>
      </c>
      <c r="B8" s="37"/>
      <c r="C8" s="38"/>
      <c r="D8" s="38">
        <v>706</v>
      </c>
      <c r="E8" s="51">
        <v>194</v>
      </c>
      <c r="F8" s="124">
        <f t="shared" si="1"/>
        <v>900</v>
      </c>
      <c r="G8" s="150">
        <v>512</v>
      </c>
      <c r="H8" s="151">
        <v>927</v>
      </c>
      <c r="I8" s="151"/>
      <c r="J8" s="151">
        <v>1989</v>
      </c>
      <c r="K8" s="163">
        <v>1116</v>
      </c>
      <c r="L8" s="159">
        <f t="shared" si="2"/>
        <v>4544</v>
      </c>
      <c r="M8" s="127">
        <f t="shared" si="0"/>
        <v>-3644</v>
      </c>
      <c r="N8" s="1">
        <v>84200</v>
      </c>
      <c r="O8" s="1" t="s">
        <v>4</v>
      </c>
      <c r="P8" s="13"/>
    </row>
    <row r="9" spans="1:16">
      <c r="A9" s="62" t="s">
        <v>28</v>
      </c>
      <c r="B9" s="37"/>
      <c r="C9" s="38"/>
      <c r="D9" s="38">
        <v>580</v>
      </c>
      <c r="E9" s="51"/>
      <c r="F9" s="124">
        <f t="shared" si="1"/>
        <v>580</v>
      </c>
      <c r="G9" s="150">
        <v>392</v>
      </c>
      <c r="H9" s="151">
        <v>1127</v>
      </c>
      <c r="I9" s="161"/>
      <c r="J9" s="151">
        <v>1989</v>
      </c>
      <c r="K9" s="163">
        <f>9+1128</f>
        <v>1137</v>
      </c>
      <c r="L9" s="159">
        <f t="shared" si="2"/>
        <v>4645</v>
      </c>
      <c r="M9" s="127">
        <f t="shared" si="0"/>
        <v>-4065</v>
      </c>
      <c r="N9" s="1">
        <v>82000</v>
      </c>
      <c r="O9" s="1" t="s">
        <v>28</v>
      </c>
      <c r="P9" s="13"/>
    </row>
    <row r="10" spans="1:16">
      <c r="A10" s="62" t="s">
        <v>5</v>
      </c>
      <c r="B10" s="37"/>
      <c r="C10" s="38"/>
      <c r="D10" s="38"/>
      <c r="E10" s="51"/>
      <c r="F10" s="124">
        <f t="shared" si="1"/>
        <v>0</v>
      </c>
      <c r="G10" s="150">
        <v>586</v>
      </c>
      <c r="H10" s="151">
        <v>1174</v>
      </c>
      <c r="I10" s="151">
        <v>48</v>
      </c>
      <c r="J10" s="151">
        <v>1989</v>
      </c>
      <c r="K10" s="163">
        <f>1114+430</f>
        <v>1544</v>
      </c>
      <c r="L10" s="159">
        <f t="shared" si="2"/>
        <v>5341</v>
      </c>
      <c r="M10" s="127">
        <f t="shared" si="0"/>
        <v>-5341</v>
      </c>
      <c r="N10" s="1">
        <v>83300</v>
      </c>
      <c r="O10" s="1" t="s">
        <v>5</v>
      </c>
      <c r="P10" s="13"/>
    </row>
    <row r="11" spans="1:16" ht="15.75" thickBot="1">
      <c r="A11" s="62" t="s">
        <v>9</v>
      </c>
      <c r="B11" s="37"/>
      <c r="C11" s="38"/>
      <c r="D11" s="38"/>
      <c r="E11" s="51"/>
      <c r="F11" s="124">
        <f t="shared" si="1"/>
        <v>0</v>
      </c>
      <c r="G11" s="150">
        <v>527</v>
      </c>
      <c r="H11" s="151">
        <v>1355</v>
      </c>
      <c r="I11" s="151">
        <v>713</v>
      </c>
      <c r="J11" s="151">
        <v>1988</v>
      </c>
      <c r="K11" s="163">
        <f>1102+414</f>
        <v>1516</v>
      </c>
      <c r="L11" s="159">
        <f t="shared" si="2"/>
        <v>6099</v>
      </c>
      <c r="M11" s="127">
        <f t="shared" si="0"/>
        <v>-6099</v>
      </c>
      <c r="N11" s="9">
        <v>87550</v>
      </c>
      <c r="O11" s="1" t="s">
        <v>9</v>
      </c>
      <c r="P11" s="28"/>
    </row>
    <row r="12" spans="1:16">
      <c r="A12" s="62" t="s">
        <v>6</v>
      </c>
      <c r="B12" s="37"/>
      <c r="C12" s="38"/>
      <c r="D12" s="38"/>
      <c r="E12" s="51"/>
      <c r="F12" s="124">
        <f t="shared" si="1"/>
        <v>0</v>
      </c>
      <c r="G12" s="150">
        <v>411</v>
      </c>
      <c r="H12" s="151">
        <v>1950</v>
      </c>
      <c r="I12" s="151">
        <v>951</v>
      </c>
      <c r="J12" s="151">
        <v>1987</v>
      </c>
      <c r="K12" s="163">
        <f>544+162</f>
        <v>706</v>
      </c>
      <c r="L12" s="159">
        <f t="shared" si="2"/>
        <v>6005</v>
      </c>
      <c r="M12" s="127">
        <f t="shared" si="0"/>
        <v>-6005</v>
      </c>
      <c r="N12" s="1">
        <v>93750</v>
      </c>
      <c r="O12" s="1" t="s">
        <v>6</v>
      </c>
      <c r="P12" s="11" t="s">
        <v>38</v>
      </c>
    </row>
    <row r="13" spans="1:16" ht="15.75" thickBot="1">
      <c r="A13" s="62" t="s">
        <v>34</v>
      </c>
      <c r="B13" s="37"/>
      <c r="C13" s="38"/>
      <c r="D13" s="38"/>
      <c r="E13" s="51"/>
      <c r="F13" s="124">
        <f t="shared" si="1"/>
        <v>0</v>
      </c>
      <c r="G13" s="150">
        <v>245</v>
      </c>
      <c r="H13" s="151">
        <v>2158</v>
      </c>
      <c r="I13" s="151">
        <v>1031</v>
      </c>
      <c r="J13" s="151">
        <v>1988</v>
      </c>
      <c r="K13" s="163">
        <f>543+360</f>
        <v>903</v>
      </c>
      <c r="L13" s="159">
        <f t="shared" si="2"/>
        <v>6325</v>
      </c>
      <c r="M13" s="127">
        <f t="shared" si="0"/>
        <v>-6325</v>
      </c>
      <c r="N13" s="1">
        <v>96500</v>
      </c>
      <c r="O13" s="1" t="s">
        <v>34</v>
      </c>
      <c r="P13" s="21">
        <f>AVERAGE(K24:K28,K5:K13)</f>
        <v>1172.2142857142858</v>
      </c>
    </row>
    <row r="14" spans="1:16" ht="15.75" thickBot="1">
      <c r="A14" s="62" t="s">
        <v>7</v>
      </c>
      <c r="B14" s="37"/>
      <c r="C14" s="38"/>
      <c r="D14" s="38"/>
      <c r="E14" s="51"/>
      <c r="F14" s="124">
        <f t="shared" si="1"/>
        <v>0</v>
      </c>
      <c r="G14" s="150">
        <v>689</v>
      </c>
      <c r="H14" s="151">
        <v>2022</v>
      </c>
      <c r="I14" s="151">
        <v>1458</v>
      </c>
      <c r="J14" s="151">
        <v>1989</v>
      </c>
      <c r="K14" s="163">
        <f>589+673</f>
        <v>1262</v>
      </c>
      <c r="L14" s="159">
        <f t="shared" si="2"/>
        <v>7420</v>
      </c>
      <c r="M14" s="127">
        <f t="shared" si="0"/>
        <v>-7420</v>
      </c>
      <c r="N14" s="1">
        <v>98100</v>
      </c>
      <c r="O14" s="1" t="s">
        <v>7</v>
      </c>
      <c r="P14" s="29"/>
    </row>
    <row r="15" spans="1:16">
      <c r="A15" s="62" t="s">
        <v>8</v>
      </c>
      <c r="B15" s="37"/>
      <c r="C15" s="38"/>
      <c r="D15" s="38"/>
      <c r="E15" s="51"/>
      <c r="F15" s="124">
        <f t="shared" si="1"/>
        <v>0</v>
      </c>
      <c r="G15" s="150">
        <v>799</v>
      </c>
      <c r="H15" s="151">
        <v>1776</v>
      </c>
      <c r="I15" s="151">
        <v>1402</v>
      </c>
      <c r="J15" s="151">
        <v>1989</v>
      </c>
      <c r="K15" s="163">
        <f>616+531</f>
        <v>1147</v>
      </c>
      <c r="L15" s="159">
        <f t="shared" si="2"/>
        <v>7113</v>
      </c>
      <c r="M15" s="127">
        <f t="shared" si="0"/>
        <v>-7113</v>
      </c>
      <c r="N15" s="1">
        <v>98200</v>
      </c>
      <c r="O15" s="1" t="s">
        <v>8</v>
      </c>
      <c r="P15" s="11" t="s">
        <v>35</v>
      </c>
    </row>
    <row r="16" spans="1:16" ht="15.75" thickBot="1">
      <c r="A16" s="62" t="s">
        <v>19</v>
      </c>
      <c r="B16" s="37"/>
      <c r="C16" s="38"/>
      <c r="D16" s="38"/>
      <c r="E16" s="51"/>
      <c r="F16" s="124">
        <f t="shared" si="1"/>
        <v>0</v>
      </c>
      <c r="G16" s="150">
        <v>886</v>
      </c>
      <c r="H16" s="151">
        <v>1775</v>
      </c>
      <c r="I16" s="151">
        <v>1442</v>
      </c>
      <c r="J16" s="151">
        <v>1989</v>
      </c>
      <c r="K16" s="163">
        <f>590+718</f>
        <v>1308</v>
      </c>
      <c r="L16" s="159">
        <f t="shared" si="2"/>
        <v>7400</v>
      </c>
      <c r="M16" s="127">
        <f t="shared" si="0"/>
        <v>-7400</v>
      </c>
      <c r="N16" s="1">
        <v>98000</v>
      </c>
      <c r="O16" s="1" t="s">
        <v>19</v>
      </c>
      <c r="P16" s="21">
        <f>AVERAGE(M5:M16)</f>
        <v>-5634.333333333333</v>
      </c>
    </row>
    <row r="17" spans="1:16">
      <c r="A17" s="62" t="s">
        <v>10</v>
      </c>
      <c r="B17" s="37"/>
      <c r="C17" s="38"/>
      <c r="D17" s="38"/>
      <c r="E17" s="51"/>
      <c r="F17" s="124">
        <f t="shared" si="1"/>
        <v>0</v>
      </c>
      <c r="G17" s="150">
        <v>1062</v>
      </c>
      <c r="H17" s="151">
        <v>1844</v>
      </c>
      <c r="I17" s="151">
        <v>1520</v>
      </c>
      <c r="J17" s="151">
        <v>1988</v>
      </c>
      <c r="K17" s="163">
        <f>555+994</f>
        <v>1549</v>
      </c>
      <c r="L17" s="159">
        <f t="shared" si="2"/>
        <v>7963</v>
      </c>
      <c r="M17" s="127">
        <f t="shared" si="0"/>
        <v>-7963</v>
      </c>
      <c r="N17" s="1">
        <v>97350</v>
      </c>
      <c r="O17" s="1" t="s">
        <v>10</v>
      </c>
      <c r="P17" s="30"/>
    </row>
    <row r="18" spans="1:16">
      <c r="A18" s="62" t="s">
        <v>29</v>
      </c>
      <c r="B18" s="37"/>
      <c r="C18" s="38"/>
      <c r="D18" s="38"/>
      <c r="E18" s="51"/>
      <c r="F18" s="124">
        <f t="shared" si="1"/>
        <v>0</v>
      </c>
      <c r="G18" s="150">
        <v>952</v>
      </c>
      <c r="H18" s="151">
        <v>1731</v>
      </c>
      <c r="I18" s="151">
        <v>1363</v>
      </c>
      <c r="J18" s="151">
        <v>1981</v>
      </c>
      <c r="K18" s="163">
        <f>588+755</f>
        <v>1343</v>
      </c>
      <c r="L18" s="159">
        <f t="shared" si="2"/>
        <v>7370</v>
      </c>
      <c r="M18" s="127">
        <f t="shared" si="0"/>
        <v>-7370</v>
      </c>
      <c r="N18" s="9">
        <v>96450</v>
      </c>
      <c r="O18" s="1" t="s">
        <v>29</v>
      </c>
      <c r="P18" s="13"/>
    </row>
    <row r="19" spans="1:16">
      <c r="A19" s="62" t="s">
        <v>11</v>
      </c>
      <c r="B19" s="37"/>
      <c r="C19" s="38"/>
      <c r="D19" s="38"/>
      <c r="E19" s="51"/>
      <c r="F19" s="124">
        <f t="shared" si="1"/>
        <v>0</v>
      </c>
      <c r="G19" s="150">
        <v>616</v>
      </c>
      <c r="H19" s="151">
        <v>1687</v>
      </c>
      <c r="I19" s="151">
        <v>1031</v>
      </c>
      <c r="J19" s="151">
        <v>1979</v>
      </c>
      <c r="K19" s="163">
        <f>1026+373</f>
        <v>1399</v>
      </c>
      <c r="L19" s="159">
        <f t="shared" si="2"/>
        <v>6712</v>
      </c>
      <c r="M19" s="127">
        <f t="shared" si="0"/>
        <v>-6712</v>
      </c>
      <c r="N19" s="1">
        <v>94450</v>
      </c>
      <c r="O19" s="1" t="s">
        <v>11</v>
      </c>
      <c r="P19" s="13"/>
    </row>
    <row r="20" spans="1:16">
      <c r="A20" s="62" t="s">
        <v>33</v>
      </c>
      <c r="B20" s="37"/>
      <c r="C20" s="38"/>
      <c r="D20" s="38"/>
      <c r="E20" s="51"/>
      <c r="F20" s="124">
        <f t="shared" si="1"/>
        <v>0</v>
      </c>
      <c r="G20" s="150">
        <v>352</v>
      </c>
      <c r="H20" s="151">
        <v>1559</v>
      </c>
      <c r="I20" s="151">
        <v>743</v>
      </c>
      <c r="J20" s="151">
        <v>1978</v>
      </c>
      <c r="K20" s="163">
        <f>931+291</f>
        <v>1222</v>
      </c>
      <c r="L20" s="159">
        <f t="shared" si="2"/>
        <v>5854</v>
      </c>
      <c r="M20" s="127">
        <f t="shared" si="0"/>
        <v>-5854</v>
      </c>
      <c r="N20" s="1">
        <v>91500</v>
      </c>
      <c r="O20" s="1" t="s">
        <v>33</v>
      </c>
      <c r="P20" s="13"/>
    </row>
    <row r="21" spans="1:16">
      <c r="A21" s="62" t="s">
        <v>12</v>
      </c>
      <c r="B21" s="37"/>
      <c r="C21" s="38"/>
      <c r="D21" s="38"/>
      <c r="E21" s="51"/>
      <c r="F21" s="124">
        <f t="shared" si="1"/>
        <v>0</v>
      </c>
      <c r="G21" s="150">
        <v>202</v>
      </c>
      <c r="H21" s="151">
        <v>1807</v>
      </c>
      <c r="I21" s="151">
        <v>634</v>
      </c>
      <c r="J21" s="151">
        <v>1978</v>
      </c>
      <c r="K21" s="163">
        <f>963+72</f>
        <v>1035</v>
      </c>
      <c r="L21" s="159">
        <f t="shared" si="2"/>
        <v>5656</v>
      </c>
      <c r="M21" s="127">
        <f t="shared" si="0"/>
        <v>-5656</v>
      </c>
      <c r="N21" s="1">
        <v>90000</v>
      </c>
      <c r="O21" s="1" t="s">
        <v>12</v>
      </c>
      <c r="P21" s="13"/>
    </row>
    <row r="22" spans="1:16" ht="15.75" thickBot="1">
      <c r="A22" s="65" t="s">
        <v>20</v>
      </c>
      <c r="B22" s="155">
        <v>329</v>
      </c>
      <c r="C22" s="153"/>
      <c r="D22" s="153"/>
      <c r="E22" s="156">
        <v>89</v>
      </c>
      <c r="F22" s="124">
        <f t="shared" si="1"/>
        <v>418</v>
      </c>
      <c r="G22" s="150"/>
      <c r="H22" s="151">
        <v>1630</v>
      </c>
      <c r="I22" s="151">
        <v>518</v>
      </c>
      <c r="J22" s="151">
        <v>1978</v>
      </c>
      <c r="K22" s="163">
        <f>215</f>
        <v>215</v>
      </c>
      <c r="L22" s="159">
        <f t="shared" si="2"/>
        <v>4341</v>
      </c>
      <c r="M22" s="127">
        <f t="shared" si="0"/>
        <v>-3923</v>
      </c>
      <c r="N22" s="1">
        <v>90600</v>
      </c>
      <c r="O22" s="9" t="s">
        <v>20</v>
      </c>
      <c r="P22" s="28"/>
    </row>
    <row r="23" spans="1:16" ht="15.75" thickTop="1">
      <c r="A23" s="65" t="s">
        <v>21</v>
      </c>
      <c r="B23" s="155"/>
      <c r="C23" s="153"/>
      <c r="D23" s="153"/>
      <c r="E23" s="156">
        <v>12</v>
      </c>
      <c r="F23" s="124">
        <f t="shared" si="1"/>
        <v>12</v>
      </c>
      <c r="G23" s="150">
        <v>761</v>
      </c>
      <c r="H23" s="151">
        <v>2011</v>
      </c>
      <c r="I23" s="151">
        <v>1625</v>
      </c>
      <c r="J23" s="151">
        <v>1978</v>
      </c>
      <c r="K23" s="163">
        <v>722</v>
      </c>
      <c r="L23" s="159">
        <f t="shared" si="2"/>
        <v>7097</v>
      </c>
      <c r="M23" s="127">
        <f t="shared" si="0"/>
        <v>-7085</v>
      </c>
      <c r="N23" s="1">
        <v>95950</v>
      </c>
      <c r="O23" s="9" t="s">
        <v>21</v>
      </c>
      <c r="P23" s="31" t="s">
        <v>39</v>
      </c>
    </row>
    <row r="24" spans="1:16" ht="15.75" thickBot="1">
      <c r="A24" s="65" t="s">
        <v>22</v>
      </c>
      <c r="B24" s="155"/>
      <c r="C24" s="153"/>
      <c r="D24" s="153"/>
      <c r="E24" s="156"/>
      <c r="F24" s="124">
        <f t="shared" si="1"/>
        <v>0</v>
      </c>
      <c r="G24" s="150">
        <v>558</v>
      </c>
      <c r="H24" s="151">
        <v>2228</v>
      </c>
      <c r="I24" s="151">
        <v>1348</v>
      </c>
      <c r="J24" s="151">
        <v>1978</v>
      </c>
      <c r="K24" s="163">
        <f>879+560</f>
        <v>1439</v>
      </c>
      <c r="L24" s="159">
        <f t="shared" si="2"/>
        <v>7551</v>
      </c>
      <c r="M24" s="127">
        <f t="shared" si="0"/>
        <v>-7551</v>
      </c>
      <c r="N24" s="1">
        <v>99200</v>
      </c>
      <c r="O24" s="9" t="s">
        <v>22</v>
      </c>
      <c r="P24" s="32">
        <f>AVERAGE(K14:K23)</f>
        <v>1120.2</v>
      </c>
    </row>
    <row r="25" spans="1:16" ht="15.75" thickTop="1">
      <c r="A25" s="65" t="s">
        <v>23</v>
      </c>
      <c r="B25" s="155"/>
      <c r="C25" s="153"/>
      <c r="D25" s="153"/>
      <c r="E25" s="156">
        <v>497</v>
      </c>
      <c r="F25" s="124">
        <f t="shared" si="1"/>
        <v>497</v>
      </c>
      <c r="G25" s="150">
        <v>189</v>
      </c>
      <c r="H25" s="151">
        <v>1760</v>
      </c>
      <c r="I25" s="151">
        <v>595</v>
      </c>
      <c r="J25" s="151">
        <v>1554</v>
      </c>
      <c r="K25" s="163">
        <f>997</f>
        <v>997</v>
      </c>
      <c r="L25" s="159">
        <f t="shared" si="2"/>
        <v>5095</v>
      </c>
      <c r="M25" s="127">
        <f t="shared" si="0"/>
        <v>-4598</v>
      </c>
      <c r="N25" s="1">
        <v>95250</v>
      </c>
      <c r="O25" s="9" t="s">
        <v>23</v>
      </c>
      <c r="P25" s="30"/>
    </row>
    <row r="26" spans="1:16" ht="15.75" thickBot="1">
      <c r="A26" s="65" t="s">
        <v>24</v>
      </c>
      <c r="B26" s="155"/>
      <c r="C26" s="153"/>
      <c r="D26" s="153"/>
      <c r="E26" s="156">
        <v>529</v>
      </c>
      <c r="F26" s="124">
        <f t="shared" si="1"/>
        <v>529</v>
      </c>
      <c r="G26" s="150">
        <v>104</v>
      </c>
      <c r="H26" s="151">
        <v>1312</v>
      </c>
      <c r="I26" s="151">
        <v>167</v>
      </c>
      <c r="J26" s="151">
        <v>1978</v>
      </c>
      <c r="K26" s="163">
        <f>1059</f>
        <v>1059</v>
      </c>
      <c r="L26" s="159">
        <f t="shared" si="2"/>
        <v>4620</v>
      </c>
      <c r="M26" s="127">
        <f t="shared" si="0"/>
        <v>-4091</v>
      </c>
      <c r="N26" s="1">
        <v>91100</v>
      </c>
      <c r="O26" s="9" t="s">
        <v>24</v>
      </c>
      <c r="P26" s="28"/>
    </row>
    <row r="27" spans="1:16">
      <c r="A27" s="65" t="s">
        <v>25</v>
      </c>
      <c r="B27" s="37"/>
      <c r="C27" s="38"/>
      <c r="D27" s="38"/>
      <c r="E27" s="51"/>
      <c r="F27" s="124">
        <f t="shared" si="1"/>
        <v>0</v>
      </c>
      <c r="G27" s="150">
        <v>585</v>
      </c>
      <c r="H27" s="151">
        <v>915</v>
      </c>
      <c r="I27" s="151">
        <v>953</v>
      </c>
      <c r="J27" s="151">
        <v>1974</v>
      </c>
      <c r="K27" s="163">
        <f>1009+97</f>
        <v>1106</v>
      </c>
      <c r="L27" s="159">
        <f t="shared" si="2"/>
        <v>5533</v>
      </c>
      <c r="M27" s="127">
        <f t="shared" si="0"/>
        <v>-5533</v>
      </c>
      <c r="N27" s="1">
        <v>88600</v>
      </c>
      <c r="O27" s="9" t="s">
        <v>25</v>
      </c>
      <c r="P27" s="11" t="s">
        <v>36</v>
      </c>
    </row>
    <row r="28" spans="1:16" ht="15.75" thickBot="1">
      <c r="A28" s="65" t="s">
        <v>26</v>
      </c>
      <c r="B28" s="40"/>
      <c r="C28" s="41"/>
      <c r="D28" s="41"/>
      <c r="E28" s="157"/>
      <c r="F28" s="126">
        <f t="shared" si="1"/>
        <v>0</v>
      </c>
      <c r="G28" s="170">
        <v>701</v>
      </c>
      <c r="H28" s="171">
        <v>977</v>
      </c>
      <c r="I28" s="171">
        <v>688</v>
      </c>
      <c r="J28" s="171">
        <v>1978</v>
      </c>
      <c r="K28" s="172">
        <f>1009+475</f>
        <v>1484</v>
      </c>
      <c r="L28" s="160">
        <f t="shared" si="2"/>
        <v>5828</v>
      </c>
      <c r="M28" s="127">
        <f t="shared" si="0"/>
        <v>-5828</v>
      </c>
      <c r="N28" s="1">
        <v>90650</v>
      </c>
      <c r="O28" s="9" t="s">
        <v>26</v>
      </c>
      <c r="P28" s="21">
        <f>AVERAGE(M17:M28)</f>
        <v>-6013.666666666667</v>
      </c>
    </row>
    <row r="29" spans="1:16">
      <c r="A29" s="68" t="s">
        <v>44</v>
      </c>
      <c r="B29" s="121">
        <f t="shared" ref="B29:N29" si="3">SUM(B5:B28)</f>
        <v>329</v>
      </c>
      <c r="C29" s="122">
        <f t="shared" si="3"/>
        <v>0</v>
      </c>
      <c r="D29" s="122">
        <f t="shared" si="3"/>
        <v>2072</v>
      </c>
      <c r="E29" s="122">
        <f t="shared" si="3"/>
        <v>1469</v>
      </c>
      <c r="F29" s="146">
        <f t="shared" si="3"/>
        <v>3870</v>
      </c>
      <c r="G29" s="128">
        <f t="shared" si="3"/>
        <v>13753</v>
      </c>
      <c r="H29" s="129">
        <f t="shared" si="3"/>
        <v>36865</v>
      </c>
      <c r="I29" s="129">
        <f t="shared" si="3"/>
        <v>18230</v>
      </c>
      <c r="J29" s="129"/>
      <c r="K29" s="129">
        <f>SUM(K5:K28)</f>
        <v>27613</v>
      </c>
      <c r="L29" s="129">
        <f t="shared" si="3"/>
        <v>143646</v>
      </c>
      <c r="M29" s="144">
        <f>SUM(M5:M28)</f>
        <v>-139776</v>
      </c>
      <c r="N29" s="145">
        <f t="shared" si="3"/>
        <v>2207600</v>
      </c>
      <c r="O29" s="81" t="s">
        <v>45</v>
      </c>
    </row>
    <row r="30" spans="1:16" ht="15.75" thickBot="1">
      <c r="A30" s="69"/>
      <c r="B30" s="82"/>
      <c r="C30" s="83"/>
      <c r="D30" s="83"/>
      <c r="E30" s="83"/>
      <c r="F30" s="83"/>
      <c r="G30" s="84"/>
      <c r="H30" s="85"/>
      <c r="I30" s="85"/>
      <c r="J30" s="85"/>
      <c r="K30" s="85"/>
      <c r="L30" s="85"/>
      <c r="M30" s="85"/>
      <c r="N30" s="61"/>
      <c r="O30" s="76">
        <f>0-(G29-B29)</f>
        <v>-13424</v>
      </c>
    </row>
    <row r="31" spans="1:16" ht="15.75" thickBot="1">
      <c r="B31" s="6" t="s">
        <v>13</v>
      </c>
    </row>
    <row r="32" spans="1:16">
      <c r="A32" s="33">
        <v>40947</v>
      </c>
      <c r="B32" s="201" t="s">
        <v>42</v>
      </c>
      <c r="C32" s="202"/>
      <c r="D32" s="202"/>
      <c r="E32" s="202"/>
      <c r="F32" s="2" t="s">
        <v>57</v>
      </c>
      <c r="G32" s="205" t="s">
        <v>43</v>
      </c>
      <c r="H32" s="206"/>
      <c r="I32" s="206"/>
      <c r="J32" s="207"/>
      <c r="K32" s="2" t="s">
        <v>56</v>
      </c>
      <c r="L32" s="2" t="s">
        <v>32</v>
      </c>
      <c r="M32" s="1"/>
      <c r="N32" s="1"/>
      <c r="P32" s="10"/>
    </row>
    <row r="33" spans="1:16">
      <c r="A33" s="1"/>
      <c r="B33" s="135" t="s">
        <v>0</v>
      </c>
      <c r="C33" s="6" t="s">
        <v>14</v>
      </c>
      <c r="D33" s="6" t="s">
        <v>15</v>
      </c>
      <c r="E33" s="136" t="s">
        <v>41</v>
      </c>
      <c r="F33" s="136" t="s">
        <v>44</v>
      </c>
      <c r="G33" s="135" t="s">
        <v>0</v>
      </c>
      <c r="H33" s="6" t="s">
        <v>14</v>
      </c>
      <c r="I33" s="6" t="s">
        <v>15</v>
      </c>
      <c r="J33" s="136" t="s">
        <v>41</v>
      </c>
      <c r="K33" s="136" t="s">
        <v>44</v>
      </c>
      <c r="L33" s="7" t="s">
        <v>16</v>
      </c>
      <c r="M33" s="8" t="s">
        <v>27</v>
      </c>
      <c r="N33" s="1"/>
      <c r="P33" s="27" t="s">
        <v>40</v>
      </c>
    </row>
    <row r="34" spans="1:16">
      <c r="A34" s="62" t="s">
        <v>1</v>
      </c>
      <c r="B34" s="45">
        <v>831</v>
      </c>
      <c r="C34" s="46"/>
      <c r="D34" s="46">
        <v>2293</v>
      </c>
      <c r="E34" s="47">
        <f>2255+504</f>
        <v>2759</v>
      </c>
      <c r="F34" s="125">
        <f>SUM(B34:E34)</f>
        <v>5883</v>
      </c>
      <c r="G34" s="148"/>
      <c r="H34" s="149"/>
      <c r="I34" s="149"/>
      <c r="J34" s="162">
        <f>692+341+829</f>
        <v>1862</v>
      </c>
      <c r="K34" s="158">
        <f>SUM(G34:J34)</f>
        <v>1862</v>
      </c>
      <c r="L34" s="127">
        <f t="shared" ref="L34:L57" si="4">SUM(B34:E34)-SUM(G34:J34)</f>
        <v>4021</v>
      </c>
      <c r="M34" s="1">
        <v>40615</v>
      </c>
      <c r="N34" s="1" t="s">
        <v>1</v>
      </c>
      <c r="P34" s="13"/>
    </row>
    <row r="35" spans="1:16">
      <c r="A35" s="62" t="s">
        <v>2</v>
      </c>
      <c r="B35" s="48">
        <v>1036</v>
      </c>
      <c r="C35" s="49"/>
      <c r="D35" s="49">
        <v>2282</v>
      </c>
      <c r="E35" s="50">
        <f>2388+583</f>
        <v>2971</v>
      </c>
      <c r="F35" s="124">
        <f>SUM(B35:E35)</f>
        <v>6289</v>
      </c>
      <c r="G35" s="150"/>
      <c r="H35" s="151"/>
      <c r="I35" s="151"/>
      <c r="J35" s="163">
        <f>529+431+823</f>
        <v>1783</v>
      </c>
      <c r="K35" s="159">
        <f t="shared" ref="K35:K57" si="5">SUM(G35:J35)</f>
        <v>1783</v>
      </c>
      <c r="L35" s="127">
        <f t="shared" si="4"/>
        <v>4506</v>
      </c>
      <c r="M35" s="1">
        <v>38922</v>
      </c>
      <c r="N35" s="1" t="s">
        <v>2</v>
      </c>
      <c r="P35" s="13"/>
    </row>
    <row r="36" spans="1:16">
      <c r="A36" s="62" t="s">
        <v>3</v>
      </c>
      <c r="B36" s="48">
        <v>757</v>
      </c>
      <c r="C36" s="49"/>
      <c r="D36" s="49">
        <v>2441</v>
      </c>
      <c r="E36" s="50">
        <f>(2415+708)</f>
        <v>3123</v>
      </c>
      <c r="F36" s="124">
        <f t="shared" ref="F36:F57" si="6">SUM(B36:E36)</f>
        <v>6321</v>
      </c>
      <c r="G36" s="150"/>
      <c r="H36" s="151"/>
      <c r="I36" s="151"/>
      <c r="J36" s="163">
        <f>365+355+844</f>
        <v>1564</v>
      </c>
      <c r="K36" s="159">
        <f t="shared" si="5"/>
        <v>1564</v>
      </c>
      <c r="L36" s="127">
        <f t="shared" si="4"/>
        <v>4757</v>
      </c>
      <c r="M36" s="1">
        <v>37542</v>
      </c>
      <c r="N36" s="1" t="s">
        <v>3</v>
      </c>
      <c r="P36" s="13"/>
    </row>
    <row r="37" spans="1:16">
      <c r="A37" s="62" t="s">
        <v>4</v>
      </c>
      <c r="B37" s="48">
        <v>512</v>
      </c>
      <c r="C37" s="49"/>
      <c r="D37" s="49">
        <v>2650</v>
      </c>
      <c r="E37" s="50">
        <f>2471+832</f>
        <v>3303</v>
      </c>
      <c r="F37" s="124">
        <f t="shared" si="6"/>
        <v>6465</v>
      </c>
      <c r="G37" s="150"/>
      <c r="H37" s="151"/>
      <c r="I37" s="151"/>
      <c r="J37" s="163">
        <f>379+136+826</f>
        <v>1341</v>
      </c>
      <c r="K37" s="159">
        <f t="shared" si="5"/>
        <v>1341</v>
      </c>
      <c r="L37" s="127">
        <f t="shared" si="4"/>
        <v>5124</v>
      </c>
      <c r="M37" s="1">
        <v>37013</v>
      </c>
      <c r="N37" s="1" t="s">
        <v>4</v>
      </c>
      <c r="P37" s="13"/>
    </row>
    <row r="38" spans="1:16">
      <c r="A38" s="62" t="s">
        <v>28</v>
      </c>
      <c r="B38" s="48">
        <v>392</v>
      </c>
      <c r="C38" s="49"/>
      <c r="D38" s="49">
        <v>2597</v>
      </c>
      <c r="E38" s="50">
        <f>2587+724</f>
        <v>3311</v>
      </c>
      <c r="F38" s="124">
        <f t="shared" si="6"/>
        <v>6300</v>
      </c>
      <c r="G38" s="150"/>
      <c r="H38" s="151"/>
      <c r="I38" s="151"/>
      <c r="J38" s="163">
        <f>349+42+823</f>
        <v>1214</v>
      </c>
      <c r="K38" s="159">
        <f t="shared" si="5"/>
        <v>1214</v>
      </c>
      <c r="L38" s="127">
        <f t="shared" si="4"/>
        <v>5086</v>
      </c>
      <c r="M38" s="1">
        <v>37592</v>
      </c>
      <c r="N38" s="1" t="s">
        <v>28</v>
      </c>
      <c r="P38" s="13"/>
    </row>
    <row r="39" spans="1:16">
      <c r="A39" s="62" t="s">
        <v>5</v>
      </c>
      <c r="B39" s="48">
        <v>586</v>
      </c>
      <c r="C39" s="49"/>
      <c r="D39" s="49">
        <v>2280</v>
      </c>
      <c r="E39" s="50">
        <f>2097+766</f>
        <v>2863</v>
      </c>
      <c r="F39" s="124">
        <f t="shared" si="6"/>
        <v>5729</v>
      </c>
      <c r="G39" s="150"/>
      <c r="H39" s="151"/>
      <c r="I39" s="151"/>
      <c r="J39" s="163">
        <f>500+189+514</f>
        <v>1203</v>
      </c>
      <c r="K39" s="159">
        <f t="shared" si="5"/>
        <v>1203</v>
      </c>
      <c r="L39" s="127">
        <f t="shared" si="4"/>
        <v>4526</v>
      </c>
      <c r="M39" s="1">
        <v>39675</v>
      </c>
      <c r="N39" s="1" t="s">
        <v>5</v>
      </c>
      <c r="P39" s="13"/>
    </row>
    <row r="40" spans="1:16" ht="15.75" thickBot="1">
      <c r="A40" s="62" t="s">
        <v>9</v>
      </c>
      <c r="B40" s="48">
        <v>527</v>
      </c>
      <c r="C40" s="49"/>
      <c r="D40" s="49">
        <v>2151</v>
      </c>
      <c r="E40" s="50">
        <f>1696+754+158</f>
        <v>2608</v>
      </c>
      <c r="F40" s="124">
        <f t="shared" si="6"/>
        <v>5286</v>
      </c>
      <c r="G40" s="150"/>
      <c r="H40" s="151"/>
      <c r="I40" s="151"/>
      <c r="J40" s="163">
        <f>344+240</f>
        <v>584</v>
      </c>
      <c r="K40" s="159">
        <f t="shared" si="5"/>
        <v>584</v>
      </c>
      <c r="L40" s="127">
        <f t="shared" si="4"/>
        <v>4702</v>
      </c>
      <c r="M40" s="1">
        <v>45002</v>
      </c>
      <c r="N40" s="1" t="s">
        <v>9</v>
      </c>
      <c r="P40" s="28"/>
    </row>
    <row r="41" spans="1:16">
      <c r="A41" s="62" t="s">
        <v>6</v>
      </c>
      <c r="B41" s="48">
        <v>411</v>
      </c>
      <c r="C41" s="49"/>
      <c r="D41" s="49">
        <v>2170</v>
      </c>
      <c r="E41" s="50">
        <f>1196+1010+433+6</f>
        <v>2645</v>
      </c>
      <c r="F41" s="124">
        <f t="shared" si="6"/>
        <v>5226</v>
      </c>
      <c r="G41" s="150"/>
      <c r="H41" s="151"/>
      <c r="I41" s="151"/>
      <c r="J41" s="163">
        <f>133</f>
        <v>133</v>
      </c>
      <c r="K41" s="159">
        <f t="shared" si="5"/>
        <v>133</v>
      </c>
      <c r="L41" s="127">
        <f t="shared" si="4"/>
        <v>5093</v>
      </c>
      <c r="M41" s="1">
        <v>50435</v>
      </c>
      <c r="N41" s="1" t="s">
        <v>6</v>
      </c>
      <c r="P41" s="11" t="s">
        <v>38</v>
      </c>
    </row>
    <row r="42" spans="1:16" ht="15.75" thickBot="1">
      <c r="A42" s="62" t="s">
        <v>34</v>
      </c>
      <c r="B42" s="48">
        <v>245</v>
      </c>
      <c r="C42" s="49"/>
      <c r="D42" s="49">
        <v>1861</v>
      </c>
      <c r="E42" s="50">
        <f>880+1047+354+26</f>
        <v>2307</v>
      </c>
      <c r="F42" s="124">
        <f t="shared" si="6"/>
        <v>4413</v>
      </c>
      <c r="G42" s="150"/>
      <c r="H42" s="151"/>
      <c r="I42" s="151"/>
      <c r="J42" s="163">
        <v>880</v>
      </c>
      <c r="K42" s="159">
        <f t="shared" si="5"/>
        <v>880</v>
      </c>
      <c r="L42" s="147">
        <f t="shared" si="4"/>
        <v>3533</v>
      </c>
      <c r="M42" s="1">
        <v>52095</v>
      </c>
      <c r="N42" s="1" t="s">
        <v>34</v>
      </c>
      <c r="P42" s="21">
        <f>AVERAGE(J53:J57,J34:J42)</f>
        <v>1570.8571428571429</v>
      </c>
    </row>
    <row r="43" spans="1:16" ht="15.75" thickBot="1">
      <c r="A43" s="62" t="s">
        <v>7</v>
      </c>
      <c r="B43" s="48">
        <v>689</v>
      </c>
      <c r="C43" s="49"/>
      <c r="D43" s="49">
        <v>1780</v>
      </c>
      <c r="E43" s="50">
        <f>896+1203+137+3</f>
        <v>2239</v>
      </c>
      <c r="F43" s="124">
        <f t="shared" si="6"/>
        <v>4708</v>
      </c>
      <c r="G43" s="150"/>
      <c r="H43" s="151"/>
      <c r="I43" s="151"/>
      <c r="J43" s="163">
        <f>896</f>
        <v>896</v>
      </c>
      <c r="K43" s="159">
        <f t="shared" si="5"/>
        <v>896</v>
      </c>
      <c r="L43" s="127">
        <f t="shared" si="4"/>
        <v>3812</v>
      </c>
      <c r="M43" s="1">
        <v>51764</v>
      </c>
      <c r="N43" s="1" t="s">
        <v>7</v>
      </c>
      <c r="P43" s="29"/>
    </row>
    <row r="44" spans="1:16">
      <c r="A44" s="62" t="s">
        <v>8</v>
      </c>
      <c r="B44" s="48">
        <v>799</v>
      </c>
      <c r="C44" s="49"/>
      <c r="D44" s="49">
        <v>2017</v>
      </c>
      <c r="E44" s="50">
        <f>1026+1267+51+7</f>
        <v>2351</v>
      </c>
      <c r="F44" s="124">
        <f t="shared" si="6"/>
        <v>5167</v>
      </c>
      <c r="G44" s="150"/>
      <c r="H44" s="151"/>
      <c r="I44" s="151"/>
      <c r="J44" s="163">
        <v>196</v>
      </c>
      <c r="K44" s="159">
        <f t="shared" si="5"/>
        <v>196</v>
      </c>
      <c r="L44" s="127">
        <f t="shared" si="4"/>
        <v>4971</v>
      </c>
      <c r="M44" s="1">
        <v>50657</v>
      </c>
      <c r="N44" s="1" t="s">
        <v>8</v>
      </c>
      <c r="P44" s="11" t="s">
        <v>35</v>
      </c>
    </row>
    <row r="45" spans="1:16" ht="15.75" thickBot="1">
      <c r="A45" s="62" t="s">
        <v>19</v>
      </c>
      <c r="B45" s="48">
        <v>886</v>
      </c>
      <c r="C45" s="49"/>
      <c r="D45" s="49">
        <v>2117</v>
      </c>
      <c r="E45" s="50">
        <f>925+1281</f>
        <v>2206</v>
      </c>
      <c r="F45" s="124">
        <f t="shared" si="6"/>
        <v>5209</v>
      </c>
      <c r="G45" s="150"/>
      <c r="H45" s="151"/>
      <c r="I45" s="151"/>
      <c r="J45" s="163">
        <f>375+50+335</f>
        <v>760</v>
      </c>
      <c r="K45" s="159">
        <f t="shared" si="5"/>
        <v>760</v>
      </c>
      <c r="L45" s="127">
        <f t="shared" si="4"/>
        <v>4449</v>
      </c>
      <c r="M45" s="1">
        <v>51246</v>
      </c>
      <c r="N45" s="1" t="s">
        <v>19</v>
      </c>
      <c r="P45" s="21">
        <f>AVERAGE(L34:L45)</f>
        <v>4548.333333333333</v>
      </c>
    </row>
    <row r="46" spans="1:16">
      <c r="A46" s="62" t="s">
        <v>10</v>
      </c>
      <c r="B46" s="48">
        <v>1062</v>
      </c>
      <c r="C46" s="49"/>
      <c r="D46" s="49">
        <v>2151</v>
      </c>
      <c r="E46" s="50">
        <f>1309+1351</f>
        <v>2660</v>
      </c>
      <c r="F46" s="124">
        <f t="shared" si="6"/>
        <v>5873</v>
      </c>
      <c r="G46" s="150"/>
      <c r="H46" s="151"/>
      <c r="I46" s="151"/>
      <c r="J46" s="163">
        <f>81+427+211</f>
        <v>719</v>
      </c>
      <c r="K46" s="159">
        <f t="shared" si="5"/>
        <v>719</v>
      </c>
      <c r="L46" s="127">
        <f t="shared" si="4"/>
        <v>5154</v>
      </c>
      <c r="M46" s="1">
        <v>50417</v>
      </c>
      <c r="N46" s="1" t="s">
        <v>10</v>
      </c>
      <c r="P46" s="30"/>
    </row>
    <row r="47" spans="1:16">
      <c r="A47" s="62" t="s">
        <v>29</v>
      </c>
      <c r="B47" s="48">
        <v>952</v>
      </c>
      <c r="C47" s="49"/>
      <c r="D47" s="49">
        <v>2251</v>
      </c>
      <c r="E47" s="50">
        <f>1441+1445</f>
        <v>2886</v>
      </c>
      <c r="F47" s="124">
        <f t="shared" si="6"/>
        <v>6089</v>
      </c>
      <c r="G47" s="150"/>
      <c r="H47" s="151"/>
      <c r="I47" s="151"/>
      <c r="J47" s="163">
        <f>90+430+75</f>
        <v>595</v>
      </c>
      <c r="K47" s="159">
        <f t="shared" si="5"/>
        <v>595</v>
      </c>
      <c r="L47" s="127">
        <f t="shared" si="4"/>
        <v>5494</v>
      </c>
      <c r="M47" s="1">
        <v>50153</v>
      </c>
      <c r="N47" s="1" t="s">
        <v>29</v>
      </c>
      <c r="P47" s="13"/>
    </row>
    <row r="48" spans="1:16">
      <c r="A48" s="62" t="s">
        <v>11</v>
      </c>
      <c r="B48" s="48">
        <v>616</v>
      </c>
      <c r="C48" s="49"/>
      <c r="D48" s="49">
        <v>2190</v>
      </c>
      <c r="E48" s="50">
        <f>1719+21+1481</f>
        <v>3221</v>
      </c>
      <c r="F48" s="124">
        <f t="shared" si="6"/>
        <v>6027</v>
      </c>
      <c r="G48" s="150"/>
      <c r="H48" s="151"/>
      <c r="I48" s="151"/>
      <c r="J48" s="163">
        <f>267+110</f>
        <v>377</v>
      </c>
      <c r="K48" s="159">
        <f t="shared" si="5"/>
        <v>377</v>
      </c>
      <c r="L48" s="127">
        <f t="shared" si="4"/>
        <v>5650</v>
      </c>
      <c r="M48" s="1">
        <v>49866</v>
      </c>
      <c r="N48" s="1" t="s">
        <v>11</v>
      </c>
      <c r="P48" s="13"/>
    </row>
    <row r="49" spans="1:16">
      <c r="A49" s="62" t="s">
        <v>33</v>
      </c>
      <c r="B49" s="48">
        <v>352</v>
      </c>
      <c r="C49" s="49"/>
      <c r="D49" s="49">
        <v>2192</v>
      </c>
      <c r="E49" s="50">
        <f>1906+87+1399</f>
        <v>3392</v>
      </c>
      <c r="F49" s="124">
        <f t="shared" si="6"/>
        <v>5936</v>
      </c>
      <c r="G49" s="150"/>
      <c r="H49" s="151"/>
      <c r="I49" s="151"/>
      <c r="J49" s="163">
        <f>80+428</f>
        <v>508</v>
      </c>
      <c r="K49" s="159">
        <f t="shared" si="5"/>
        <v>508</v>
      </c>
      <c r="L49" s="147">
        <f t="shared" si="4"/>
        <v>5428</v>
      </c>
      <c r="M49" s="1">
        <v>50573</v>
      </c>
      <c r="N49" s="1" t="s">
        <v>33</v>
      </c>
      <c r="P49" s="13"/>
    </row>
    <row r="50" spans="1:16">
      <c r="A50" s="62" t="s">
        <v>12</v>
      </c>
      <c r="B50" s="48">
        <v>202</v>
      </c>
      <c r="C50" s="49"/>
      <c r="D50" s="49">
        <v>2188</v>
      </c>
      <c r="E50" s="50">
        <f>1731+330+1459</f>
        <v>3520</v>
      </c>
      <c r="F50" s="124">
        <f t="shared" si="6"/>
        <v>5910</v>
      </c>
      <c r="G50" s="150"/>
      <c r="H50" s="151"/>
      <c r="I50" s="151"/>
      <c r="J50" s="163">
        <f>86+489</f>
        <v>575</v>
      </c>
      <c r="K50" s="159">
        <f t="shared" si="5"/>
        <v>575</v>
      </c>
      <c r="L50" s="127">
        <f t="shared" si="4"/>
        <v>5335</v>
      </c>
      <c r="M50" s="1">
        <v>51550</v>
      </c>
      <c r="N50" s="1" t="s">
        <v>12</v>
      </c>
      <c r="P50" s="13"/>
    </row>
    <row r="51" spans="1:16" ht="15.75" thickBot="1">
      <c r="A51" s="65" t="s">
        <v>20</v>
      </c>
      <c r="B51" s="48"/>
      <c r="C51" s="49"/>
      <c r="D51" s="49">
        <v>1690</v>
      </c>
      <c r="E51" s="50">
        <f>1086+1360+254</f>
        <v>2700</v>
      </c>
      <c r="F51" s="124">
        <f t="shared" si="6"/>
        <v>4390</v>
      </c>
      <c r="G51" s="150">
        <v>329</v>
      </c>
      <c r="H51" s="151"/>
      <c r="I51" s="151"/>
      <c r="J51" s="163">
        <f>123+111</f>
        <v>234</v>
      </c>
      <c r="K51" s="159">
        <f t="shared" si="5"/>
        <v>563</v>
      </c>
      <c r="L51" s="127">
        <f t="shared" si="4"/>
        <v>3827</v>
      </c>
      <c r="M51" s="1">
        <v>54030</v>
      </c>
      <c r="N51" s="9" t="s">
        <v>20</v>
      </c>
      <c r="P51" s="28"/>
    </row>
    <row r="52" spans="1:16" ht="15.75" thickTop="1">
      <c r="A52" s="65" t="s">
        <v>21</v>
      </c>
      <c r="B52" s="48">
        <v>761</v>
      </c>
      <c r="C52" s="49"/>
      <c r="D52" s="49">
        <v>1603</v>
      </c>
      <c r="E52" s="50">
        <f>614+1034+198</f>
        <v>1846</v>
      </c>
      <c r="F52" s="124">
        <f t="shared" si="6"/>
        <v>4210</v>
      </c>
      <c r="G52" s="150"/>
      <c r="H52" s="151"/>
      <c r="I52" s="151"/>
      <c r="J52" s="163">
        <f>1034+563</f>
        <v>1597</v>
      </c>
      <c r="K52" s="159">
        <f t="shared" si="5"/>
        <v>1597</v>
      </c>
      <c r="L52" s="127">
        <f t="shared" si="4"/>
        <v>2613</v>
      </c>
      <c r="M52" s="1">
        <v>54650</v>
      </c>
      <c r="N52" s="9" t="s">
        <v>21</v>
      </c>
      <c r="P52" s="31" t="s">
        <v>39</v>
      </c>
    </row>
    <row r="53" spans="1:16" ht="15.75" thickBot="1">
      <c r="A53" s="65" t="s">
        <v>22</v>
      </c>
      <c r="B53" s="48">
        <v>558</v>
      </c>
      <c r="C53" s="49"/>
      <c r="D53" s="49">
        <v>1681</v>
      </c>
      <c r="E53" s="50">
        <f>587+1236</f>
        <v>1823</v>
      </c>
      <c r="F53" s="124">
        <f t="shared" si="6"/>
        <v>4062</v>
      </c>
      <c r="G53" s="150"/>
      <c r="H53" s="151"/>
      <c r="I53" s="151"/>
      <c r="J53" s="163">
        <f>1019+30+349</f>
        <v>1398</v>
      </c>
      <c r="K53" s="159">
        <f t="shared" si="5"/>
        <v>1398</v>
      </c>
      <c r="L53" s="127">
        <f t="shared" si="4"/>
        <v>2664</v>
      </c>
      <c r="M53" s="1">
        <v>53655</v>
      </c>
      <c r="N53" s="9" t="s">
        <v>22</v>
      </c>
      <c r="P53" s="32">
        <f>AVERAGE(J43:J52)</f>
        <v>645.70000000000005</v>
      </c>
    </row>
    <row r="54" spans="1:16" ht="15.75" thickTop="1">
      <c r="A54" s="65" t="s">
        <v>23</v>
      </c>
      <c r="B54" s="48">
        <v>189</v>
      </c>
      <c r="C54" s="49"/>
      <c r="D54" s="49">
        <v>2166</v>
      </c>
      <c r="E54" s="50">
        <f>1385+1273</f>
        <v>2658</v>
      </c>
      <c r="F54" s="124">
        <f t="shared" si="6"/>
        <v>5013</v>
      </c>
      <c r="G54" s="150"/>
      <c r="H54" s="151"/>
      <c r="I54" s="151"/>
      <c r="J54" s="163">
        <f>144+230+1283</f>
        <v>1657</v>
      </c>
      <c r="K54" s="159">
        <f t="shared" si="5"/>
        <v>1657</v>
      </c>
      <c r="L54" s="127">
        <f t="shared" si="4"/>
        <v>3356</v>
      </c>
      <c r="M54" s="1">
        <v>50459</v>
      </c>
      <c r="N54" s="9" t="s">
        <v>23</v>
      </c>
      <c r="P54" s="30"/>
    </row>
    <row r="55" spans="1:16" ht="15.75" thickBot="1">
      <c r="A55" s="65" t="s">
        <v>24</v>
      </c>
      <c r="B55" s="48">
        <v>104</v>
      </c>
      <c r="C55" s="49"/>
      <c r="D55" s="49">
        <v>2494</v>
      </c>
      <c r="E55" s="50">
        <f>1696+896</f>
        <v>2592</v>
      </c>
      <c r="F55" s="124">
        <f t="shared" si="6"/>
        <v>5190</v>
      </c>
      <c r="G55" s="150"/>
      <c r="H55" s="151"/>
      <c r="I55" s="151"/>
      <c r="J55" s="163">
        <f>533+575+1379</f>
        <v>2487</v>
      </c>
      <c r="K55" s="159">
        <f t="shared" si="5"/>
        <v>2487</v>
      </c>
      <c r="L55" s="127">
        <f t="shared" si="4"/>
        <v>2703</v>
      </c>
      <c r="M55" s="1">
        <v>48447</v>
      </c>
      <c r="N55" s="9" t="s">
        <v>24</v>
      </c>
      <c r="P55" s="28"/>
    </row>
    <row r="56" spans="1:16">
      <c r="A56" s="65" t="s">
        <v>25</v>
      </c>
      <c r="B56" s="48">
        <v>585</v>
      </c>
      <c r="C56" s="49"/>
      <c r="D56" s="49">
        <v>2518</v>
      </c>
      <c r="E56" s="50">
        <f>1330+453</f>
        <v>1783</v>
      </c>
      <c r="F56" s="124">
        <f t="shared" si="6"/>
        <v>4886</v>
      </c>
      <c r="G56" s="150"/>
      <c r="H56" s="151"/>
      <c r="I56" s="151"/>
      <c r="J56" s="163">
        <f>1417+587+861</f>
        <v>2865</v>
      </c>
      <c r="K56" s="159">
        <f t="shared" si="5"/>
        <v>2865</v>
      </c>
      <c r="L56" s="127">
        <f t="shared" si="4"/>
        <v>2021</v>
      </c>
      <c r="M56" s="1">
        <v>47140</v>
      </c>
      <c r="N56" s="9" t="s">
        <v>25</v>
      </c>
      <c r="P56" s="11" t="s">
        <v>36</v>
      </c>
    </row>
    <row r="57" spans="1:16" ht="15.75" thickBot="1">
      <c r="A57" s="65" t="s">
        <v>26</v>
      </c>
      <c r="B57" s="140">
        <v>701</v>
      </c>
      <c r="C57" s="141"/>
      <c r="D57" s="141">
        <v>2367</v>
      </c>
      <c r="E57" s="173">
        <f>1371+267</f>
        <v>1638</v>
      </c>
      <c r="F57" s="126">
        <f t="shared" si="6"/>
        <v>4706</v>
      </c>
      <c r="G57" s="170"/>
      <c r="H57" s="171"/>
      <c r="I57" s="171"/>
      <c r="J57" s="172">
        <f>1036+587+1398</f>
        <v>3021</v>
      </c>
      <c r="K57" s="160">
        <f t="shared" si="5"/>
        <v>3021</v>
      </c>
      <c r="L57" s="127">
        <f t="shared" si="4"/>
        <v>1685</v>
      </c>
      <c r="M57" s="1">
        <v>43820</v>
      </c>
      <c r="N57" s="9" t="s">
        <v>26</v>
      </c>
      <c r="P57" s="21">
        <f>AVERAGE(L46:L57)</f>
        <v>3827.5</v>
      </c>
    </row>
    <row r="58" spans="1:16">
      <c r="A58" s="66" t="s">
        <v>44</v>
      </c>
      <c r="B58" s="138">
        <f t="shared" ref="B58:K58" si="7">SUM(B34:B57)</f>
        <v>13753</v>
      </c>
      <c r="C58" s="139">
        <f t="shared" si="7"/>
        <v>0</v>
      </c>
      <c r="D58" s="139">
        <f t="shared" si="7"/>
        <v>52130</v>
      </c>
      <c r="E58" s="139">
        <f t="shared" si="7"/>
        <v>63405</v>
      </c>
      <c r="F58" s="130">
        <f t="shared" si="7"/>
        <v>129288</v>
      </c>
      <c r="G58" s="138">
        <f t="shared" si="7"/>
        <v>329</v>
      </c>
      <c r="H58" s="139">
        <f t="shared" si="7"/>
        <v>0</v>
      </c>
      <c r="I58" s="139">
        <f t="shared" si="7"/>
        <v>0</v>
      </c>
      <c r="J58" s="139">
        <f>SUM(J34:J57)</f>
        <v>28449</v>
      </c>
      <c r="K58" s="130">
        <f t="shared" si="7"/>
        <v>28778</v>
      </c>
      <c r="L58" s="77">
        <f>SUM(L34:L57)</f>
        <v>100510</v>
      </c>
      <c r="M58" s="174">
        <f>SUM(M34:M57)</f>
        <v>1137318</v>
      </c>
    </row>
    <row r="59" spans="1:16">
      <c r="A59" s="16"/>
      <c r="B59" s="8"/>
      <c r="C59" s="2"/>
      <c r="D59" s="2"/>
      <c r="E59" s="14"/>
      <c r="F59" s="14"/>
      <c r="G59" s="8"/>
      <c r="H59" s="2"/>
      <c r="I59" s="2"/>
      <c r="J59" s="14"/>
      <c r="K59" s="2"/>
      <c r="L59" s="7"/>
      <c r="M59" s="80" t="s">
        <v>46</v>
      </c>
    </row>
    <row r="60" spans="1:16" ht="15.75" thickBot="1">
      <c r="B60" s="201"/>
      <c r="C60" s="202"/>
      <c r="D60" s="202"/>
      <c r="E60" s="202"/>
      <c r="F60" s="117"/>
      <c r="G60" s="205"/>
      <c r="H60" s="206"/>
      <c r="I60" s="206"/>
      <c r="J60" s="207"/>
      <c r="K60" s="3"/>
      <c r="L60" s="3"/>
      <c r="M60" s="78">
        <f>B58-G58</f>
        <v>13424</v>
      </c>
    </row>
  </sheetData>
  <mergeCells count="6">
    <mergeCell ref="B3:E3"/>
    <mergeCell ref="G3:K3"/>
    <mergeCell ref="B32:E32"/>
    <mergeCell ref="G32:J32"/>
    <mergeCell ref="B60:E60"/>
    <mergeCell ref="G60:J60"/>
  </mergeCells>
  <phoneticPr fontId="8" type="noConversion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&amp;LBEN_9.02.2012&amp;CStrom Austausch im MW&amp;RQuellle:  entsoe.net</oddHeader>
    <oddFooter>Seite &amp;P von &amp;N</oddFooter>
  </headerFooter>
  <rowBreaks count="1" manualBreakCount="1">
    <brk id="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P61"/>
  <sheetViews>
    <sheetView workbookViewId="0">
      <selection activeCell="A29" sqref="A29:O30"/>
    </sheetView>
  </sheetViews>
  <sheetFormatPr baseColWidth="10" defaultRowHeight="15"/>
  <cols>
    <col min="1" max="1" width="10.140625" bestFit="1" customWidth="1"/>
    <col min="2" max="2" width="10.28515625" bestFit="1" customWidth="1"/>
    <col min="3" max="3" width="4.85546875" bestFit="1" customWidth="1"/>
    <col min="4" max="4" width="6" bestFit="1" customWidth="1"/>
    <col min="5" max="5" width="12.28515625" bestFit="1" customWidth="1"/>
    <col min="6" max="6" width="8.28515625" bestFit="1" customWidth="1"/>
    <col min="7" max="7" width="11" bestFit="1" customWidth="1"/>
    <col min="8" max="9" width="6" bestFit="1" customWidth="1"/>
    <col min="10" max="10" width="12.28515625" bestFit="1" customWidth="1"/>
    <col min="11" max="11" width="8.7109375" bestFit="1" customWidth="1"/>
    <col min="12" max="12" width="8.28515625" bestFit="1" customWidth="1"/>
    <col min="13" max="14" width="12.7109375" bestFit="1" customWidth="1"/>
    <col min="15" max="15" width="8.85546875" bestFit="1" customWidth="1"/>
  </cols>
  <sheetData>
    <row r="2" spans="1:16" ht="15.75" thickBot="1">
      <c r="B2" s="6" t="s">
        <v>0</v>
      </c>
    </row>
    <row r="3" spans="1:16">
      <c r="A3" s="33">
        <v>40948</v>
      </c>
      <c r="B3" s="201" t="s">
        <v>42</v>
      </c>
      <c r="C3" s="202"/>
      <c r="D3" s="202"/>
      <c r="E3" s="202"/>
      <c r="F3" s="2" t="s">
        <v>57</v>
      </c>
      <c r="G3" s="200" t="s">
        <v>43</v>
      </c>
      <c r="H3" s="200"/>
      <c r="I3" s="200"/>
      <c r="J3" s="200"/>
      <c r="K3" s="200"/>
      <c r="L3" s="2" t="s">
        <v>56</v>
      </c>
      <c r="M3" s="164" t="s">
        <v>32</v>
      </c>
      <c r="N3" s="1"/>
      <c r="O3" s="1"/>
      <c r="P3" s="10"/>
    </row>
    <row r="4" spans="1:16">
      <c r="A4" s="1"/>
      <c r="B4" s="6" t="s">
        <v>13</v>
      </c>
      <c r="C4" s="6" t="s">
        <v>14</v>
      </c>
      <c r="D4" s="6" t="s">
        <v>15</v>
      </c>
      <c r="E4" s="120" t="s">
        <v>18</v>
      </c>
      <c r="F4" s="120" t="s">
        <v>44</v>
      </c>
      <c r="G4" s="6" t="s">
        <v>13</v>
      </c>
      <c r="H4" s="6" t="s">
        <v>14</v>
      </c>
      <c r="I4" s="6" t="s">
        <v>15</v>
      </c>
      <c r="J4" s="6" t="s">
        <v>53</v>
      </c>
      <c r="K4" s="120" t="s">
        <v>55</v>
      </c>
      <c r="L4" s="120" t="s">
        <v>44</v>
      </c>
      <c r="M4" s="7" t="s">
        <v>16</v>
      </c>
      <c r="N4" s="8" t="s">
        <v>27</v>
      </c>
      <c r="O4" s="1"/>
      <c r="P4" s="27" t="s">
        <v>40</v>
      </c>
    </row>
    <row r="5" spans="1:16">
      <c r="A5" s="62" t="s">
        <v>1</v>
      </c>
      <c r="B5" s="35"/>
      <c r="C5" s="36"/>
      <c r="D5" s="36"/>
      <c r="E5" s="36"/>
      <c r="F5" s="192">
        <f>SUM(B5:E5)</f>
        <v>0</v>
      </c>
      <c r="G5" s="187">
        <v>1062</v>
      </c>
      <c r="H5" s="187">
        <v>1421</v>
      </c>
      <c r="I5" s="187">
        <v>579</v>
      </c>
      <c r="J5" s="187">
        <v>1979</v>
      </c>
      <c r="K5" s="187">
        <f>1014+749</f>
        <v>1763</v>
      </c>
      <c r="L5" s="188">
        <f>SUM(G5:K5)</f>
        <v>6804</v>
      </c>
      <c r="M5" s="127">
        <f t="shared" ref="M5:M28" si="0">SUM(B5:E5)-SUM(G5:K5)</f>
        <v>-6804</v>
      </c>
      <c r="N5" s="152">
        <v>90350</v>
      </c>
      <c r="O5" s="1" t="s">
        <v>1</v>
      </c>
      <c r="P5" s="13"/>
    </row>
    <row r="6" spans="1:16">
      <c r="A6" s="62" t="s">
        <v>2</v>
      </c>
      <c r="B6" s="37"/>
      <c r="C6" s="38"/>
      <c r="D6" s="38"/>
      <c r="E6" s="38"/>
      <c r="F6" s="193">
        <f t="shared" ref="F6:F28" si="1">SUM(B6:E6)</f>
        <v>0</v>
      </c>
      <c r="G6" s="186">
        <v>1315</v>
      </c>
      <c r="H6" s="186">
        <v>1579</v>
      </c>
      <c r="I6" s="186">
        <v>621</v>
      </c>
      <c r="J6" s="186">
        <v>1983</v>
      </c>
      <c r="K6" s="186">
        <f>1118+844</f>
        <v>1962</v>
      </c>
      <c r="L6" s="189">
        <f t="shared" ref="L6:L28" si="2">SUM(G6:K6)</f>
        <v>7460</v>
      </c>
      <c r="M6" s="127">
        <f t="shared" si="0"/>
        <v>-7460</v>
      </c>
      <c r="N6" s="152">
        <v>88550</v>
      </c>
      <c r="O6" s="1" t="s">
        <v>2</v>
      </c>
      <c r="P6" s="13"/>
    </row>
    <row r="7" spans="1:16">
      <c r="A7" s="62" t="s">
        <v>3</v>
      </c>
      <c r="B7" s="37"/>
      <c r="C7" s="38"/>
      <c r="D7" s="38"/>
      <c r="E7" s="38"/>
      <c r="F7" s="193">
        <f t="shared" si="1"/>
        <v>0</v>
      </c>
      <c r="G7" s="186">
        <v>1252</v>
      </c>
      <c r="H7" s="186">
        <v>1555</v>
      </c>
      <c r="I7" s="186">
        <v>713</v>
      </c>
      <c r="J7" s="186">
        <v>1986</v>
      </c>
      <c r="K7" s="186">
        <f>1109+850</f>
        <v>1959</v>
      </c>
      <c r="L7" s="189">
        <f t="shared" si="2"/>
        <v>7465</v>
      </c>
      <c r="M7" s="127">
        <f t="shared" si="0"/>
        <v>-7465</v>
      </c>
      <c r="N7" s="152">
        <v>89300</v>
      </c>
      <c r="O7" s="1" t="s">
        <v>3</v>
      </c>
      <c r="P7" s="13"/>
    </row>
    <row r="8" spans="1:16">
      <c r="A8" s="62" t="s">
        <v>4</v>
      </c>
      <c r="B8" s="37"/>
      <c r="C8" s="38"/>
      <c r="D8" s="38"/>
      <c r="E8" s="38"/>
      <c r="F8" s="193">
        <f t="shared" si="1"/>
        <v>0</v>
      </c>
      <c r="G8" s="186">
        <v>912</v>
      </c>
      <c r="H8" s="186">
        <v>1350</v>
      </c>
      <c r="I8" s="186">
        <v>220</v>
      </c>
      <c r="J8" s="186">
        <v>1989</v>
      </c>
      <c r="K8" s="186">
        <f>1062+528</f>
        <v>1590</v>
      </c>
      <c r="L8" s="189">
        <f t="shared" si="2"/>
        <v>6061</v>
      </c>
      <c r="M8" s="127">
        <f t="shared" si="0"/>
        <v>-6061</v>
      </c>
      <c r="N8" s="152">
        <v>86450</v>
      </c>
      <c r="O8" s="1" t="s">
        <v>4</v>
      </c>
      <c r="P8" s="13"/>
    </row>
    <row r="9" spans="1:16">
      <c r="A9" s="62" t="s">
        <v>28</v>
      </c>
      <c r="B9" s="37"/>
      <c r="C9" s="38"/>
      <c r="D9" s="38"/>
      <c r="E9" s="38"/>
      <c r="F9" s="193">
        <f t="shared" si="1"/>
        <v>0</v>
      </c>
      <c r="G9" s="186">
        <v>836</v>
      </c>
      <c r="H9" s="186">
        <v>1410</v>
      </c>
      <c r="I9" s="186">
        <v>22</v>
      </c>
      <c r="J9" s="186">
        <v>1989</v>
      </c>
      <c r="K9" s="186">
        <f>1085+510</f>
        <v>1595</v>
      </c>
      <c r="L9" s="189">
        <f t="shared" si="2"/>
        <v>5852</v>
      </c>
      <c r="M9" s="127">
        <f t="shared" si="0"/>
        <v>-5852</v>
      </c>
      <c r="N9" s="152">
        <v>84650</v>
      </c>
      <c r="O9" s="1" t="s">
        <v>28</v>
      </c>
      <c r="P9" s="13"/>
    </row>
    <row r="10" spans="1:16">
      <c r="A10" s="62" t="s">
        <v>5</v>
      </c>
      <c r="B10" s="37"/>
      <c r="C10" s="38"/>
      <c r="D10" s="38"/>
      <c r="E10" s="38"/>
      <c r="F10" s="193">
        <f t="shared" si="1"/>
        <v>0</v>
      </c>
      <c r="G10" s="186">
        <v>1013</v>
      </c>
      <c r="H10" s="186">
        <v>1509</v>
      </c>
      <c r="I10" s="186">
        <v>486</v>
      </c>
      <c r="J10" s="186">
        <v>1989</v>
      </c>
      <c r="K10" s="186">
        <f>1108+614</f>
        <v>1722</v>
      </c>
      <c r="L10" s="189">
        <f t="shared" si="2"/>
        <v>6719</v>
      </c>
      <c r="M10" s="127">
        <f t="shared" si="0"/>
        <v>-6719</v>
      </c>
      <c r="N10" s="152">
        <v>85650</v>
      </c>
      <c r="O10" s="1" t="s">
        <v>5</v>
      </c>
      <c r="P10" s="13"/>
    </row>
    <row r="11" spans="1:16" ht="15.75" thickBot="1">
      <c r="A11" s="62" t="s">
        <v>9</v>
      </c>
      <c r="B11" s="37"/>
      <c r="C11" s="38"/>
      <c r="D11" s="38"/>
      <c r="E11" s="38"/>
      <c r="F11" s="193">
        <f t="shared" si="1"/>
        <v>0</v>
      </c>
      <c r="G11" s="186">
        <v>790</v>
      </c>
      <c r="H11" s="186">
        <v>1826</v>
      </c>
      <c r="I11" s="186">
        <v>1114</v>
      </c>
      <c r="J11" s="186">
        <v>1989</v>
      </c>
      <c r="K11" s="186">
        <f>1175+378</f>
        <v>1553</v>
      </c>
      <c r="L11" s="189">
        <f t="shared" si="2"/>
        <v>7272</v>
      </c>
      <c r="M11" s="127">
        <f t="shared" si="0"/>
        <v>-7272</v>
      </c>
      <c r="N11" s="8">
        <v>90100</v>
      </c>
      <c r="O11" s="1" t="s">
        <v>9</v>
      </c>
      <c r="P11" s="28"/>
    </row>
    <row r="12" spans="1:16">
      <c r="A12" s="62" t="s">
        <v>6</v>
      </c>
      <c r="B12" s="37"/>
      <c r="C12" s="38"/>
      <c r="D12" s="38"/>
      <c r="E12" s="38"/>
      <c r="F12" s="193">
        <f t="shared" si="1"/>
        <v>0</v>
      </c>
      <c r="G12" s="186">
        <v>853</v>
      </c>
      <c r="H12" s="186">
        <v>2122</v>
      </c>
      <c r="I12" s="186">
        <v>1367</v>
      </c>
      <c r="J12" s="186">
        <v>1989</v>
      </c>
      <c r="K12" s="186">
        <f>1020+404</f>
        <v>1424</v>
      </c>
      <c r="L12" s="189">
        <f t="shared" si="2"/>
        <v>7755</v>
      </c>
      <c r="M12" s="127">
        <f t="shared" si="0"/>
        <v>-7755</v>
      </c>
      <c r="N12" s="152">
        <v>97450</v>
      </c>
      <c r="O12" s="1" t="s">
        <v>6</v>
      </c>
      <c r="P12" s="11" t="s">
        <v>38</v>
      </c>
    </row>
    <row r="13" spans="1:16" ht="15.75" thickBot="1">
      <c r="A13" s="62" t="s">
        <v>34</v>
      </c>
      <c r="B13" s="37"/>
      <c r="C13" s="38"/>
      <c r="D13" s="38"/>
      <c r="E13" s="38"/>
      <c r="F13" s="193">
        <f t="shared" si="1"/>
        <v>0</v>
      </c>
      <c r="G13" s="186">
        <v>1183</v>
      </c>
      <c r="H13" s="186">
        <v>2406</v>
      </c>
      <c r="I13" s="186">
        <v>1651</v>
      </c>
      <c r="J13" s="186">
        <v>1989</v>
      </c>
      <c r="K13" s="186">
        <f>1018+1117</f>
        <v>2135</v>
      </c>
      <c r="L13" s="189">
        <f t="shared" si="2"/>
        <v>9364</v>
      </c>
      <c r="M13" s="127">
        <f t="shared" si="0"/>
        <v>-9364</v>
      </c>
      <c r="N13" s="152">
        <v>99550</v>
      </c>
      <c r="O13" s="1" t="s">
        <v>34</v>
      </c>
      <c r="P13" s="21">
        <f>AVERAGE(K24:K28,K5:K13)</f>
        <v>1511.5</v>
      </c>
    </row>
    <row r="14" spans="1:16" ht="15.75" thickBot="1">
      <c r="A14" s="62" t="s">
        <v>7</v>
      </c>
      <c r="B14" s="37"/>
      <c r="C14" s="38"/>
      <c r="D14" s="38"/>
      <c r="E14" s="38"/>
      <c r="F14" s="193">
        <f t="shared" si="1"/>
        <v>0</v>
      </c>
      <c r="G14" s="186">
        <v>1232</v>
      </c>
      <c r="H14" s="186">
        <v>2044</v>
      </c>
      <c r="I14" s="186">
        <v>1708</v>
      </c>
      <c r="J14" s="186">
        <v>1989</v>
      </c>
      <c r="K14" s="186">
        <f>1009+1262</f>
        <v>2271</v>
      </c>
      <c r="L14" s="189">
        <f t="shared" si="2"/>
        <v>9244</v>
      </c>
      <c r="M14" s="127">
        <f t="shared" si="0"/>
        <v>-9244</v>
      </c>
      <c r="N14" s="152">
        <v>99950</v>
      </c>
      <c r="O14" s="1" t="s">
        <v>7</v>
      </c>
      <c r="P14" s="29"/>
    </row>
    <row r="15" spans="1:16">
      <c r="A15" s="62" t="s">
        <v>8</v>
      </c>
      <c r="B15" s="37"/>
      <c r="C15" s="38"/>
      <c r="D15" s="38"/>
      <c r="E15" s="38"/>
      <c r="F15" s="193">
        <f t="shared" si="1"/>
        <v>0</v>
      </c>
      <c r="G15" s="186">
        <v>1000</v>
      </c>
      <c r="H15" s="186">
        <v>1857</v>
      </c>
      <c r="I15" s="186">
        <v>1521</v>
      </c>
      <c r="J15" s="186">
        <v>1989</v>
      </c>
      <c r="K15" s="186">
        <f>991+1150</f>
        <v>2141</v>
      </c>
      <c r="L15" s="189">
        <f t="shared" si="2"/>
        <v>8508</v>
      </c>
      <c r="M15" s="127">
        <f t="shared" si="0"/>
        <v>-8508</v>
      </c>
      <c r="N15" s="152">
        <v>99600</v>
      </c>
      <c r="O15" s="1" t="s">
        <v>8</v>
      </c>
      <c r="P15" s="11" t="s">
        <v>35</v>
      </c>
    </row>
    <row r="16" spans="1:16" ht="15.75" thickBot="1">
      <c r="A16" s="62" t="s">
        <v>19</v>
      </c>
      <c r="B16" s="37"/>
      <c r="C16" s="38"/>
      <c r="D16" s="38"/>
      <c r="E16" s="38"/>
      <c r="F16" s="193">
        <f t="shared" si="1"/>
        <v>0</v>
      </c>
      <c r="G16" s="186">
        <v>1040</v>
      </c>
      <c r="H16" s="186">
        <v>1776</v>
      </c>
      <c r="I16" s="186">
        <v>1562</v>
      </c>
      <c r="J16" s="186">
        <v>1532</v>
      </c>
      <c r="K16" s="186">
        <f>1050+1022</f>
        <v>2072</v>
      </c>
      <c r="L16" s="189">
        <f t="shared" si="2"/>
        <v>7982</v>
      </c>
      <c r="M16" s="127">
        <f t="shared" si="0"/>
        <v>-7982</v>
      </c>
      <c r="N16" s="152">
        <v>98700</v>
      </c>
      <c r="O16" s="1" t="s">
        <v>19</v>
      </c>
      <c r="P16" s="21">
        <f>AVERAGE(M5:M16)</f>
        <v>-7540.5</v>
      </c>
    </row>
    <row r="17" spans="1:16">
      <c r="A17" s="62" t="s">
        <v>10</v>
      </c>
      <c r="B17" s="37"/>
      <c r="C17" s="38"/>
      <c r="D17" s="38"/>
      <c r="E17" s="38"/>
      <c r="F17" s="193">
        <f t="shared" si="1"/>
        <v>0</v>
      </c>
      <c r="G17" s="186">
        <v>678</v>
      </c>
      <c r="H17" s="186">
        <v>1594</v>
      </c>
      <c r="I17" s="186">
        <v>852</v>
      </c>
      <c r="J17" s="186">
        <v>1989</v>
      </c>
      <c r="K17" s="186">
        <f>1024+506</f>
        <v>1530</v>
      </c>
      <c r="L17" s="189">
        <f t="shared" si="2"/>
        <v>6643</v>
      </c>
      <c r="M17" s="127">
        <f t="shared" si="0"/>
        <v>-6643</v>
      </c>
      <c r="N17" s="152">
        <v>97700</v>
      </c>
      <c r="O17" s="1" t="s">
        <v>10</v>
      </c>
      <c r="P17" s="30"/>
    </row>
    <row r="18" spans="1:16">
      <c r="A18" s="62" t="s">
        <v>29</v>
      </c>
      <c r="B18" s="37"/>
      <c r="C18" s="38"/>
      <c r="D18" s="38"/>
      <c r="E18" s="38"/>
      <c r="F18" s="193">
        <f t="shared" si="1"/>
        <v>0</v>
      </c>
      <c r="G18" s="186">
        <v>606</v>
      </c>
      <c r="H18" s="186">
        <v>1647</v>
      </c>
      <c r="I18" s="186">
        <v>564</v>
      </c>
      <c r="J18" s="186">
        <v>1532</v>
      </c>
      <c r="K18" s="186">
        <f>1001+156</f>
        <v>1157</v>
      </c>
      <c r="L18" s="189">
        <f t="shared" si="2"/>
        <v>5506</v>
      </c>
      <c r="M18" s="127">
        <f t="shared" si="0"/>
        <v>-5506</v>
      </c>
      <c r="N18" s="8">
        <v>96900</v>
      </c>
      <c r="O18" s="1" t="s">
        <v>29</v>
      </c>
      <c r="P18" s="13"/>
    </row>
    <row r="19" spans="1:16">
      <c r="A19" s="62" t="s">
        <v>11</v>
      </c>
      <c r="B19" s="37"/>
      <c r="C19" s="38"/>
      <c r="D19" s="38"/>
      <c r="E19" s="38">
        <v>198</v>
      </c>
      <c r="F19" s="193">
        <f t="shared" si="1"/>
        <v>198</v>
      </c>
      <c r="G19" s="186">
        <v>416</v>
      </c>
      <c r="H19" s="186">
        <v>1436</v>
      </c>
      <c r="I19" s="186">
        <v>376</v>
      </c>
      <c r="J19" s="186">
        <v>1981</v>
      </c>
      <c r="K19" s="186">
        <f>1043</f>
        <v>1043</v>
      </c>
      <c r="L19" s="189">
        <f t="shared" si="2"/>
        <v>5252</v>
      </c>
      <c r="M19" s="127">
        <f t="shared" si="0"/>
        <v>-5054</v>
      </c>
      <c r="N19" s="152">
        <v>94450</v>
      </c>
      <c r="O19" s="1" t="s">
        <v>11</v>
      </c>
      <c r="P19" s="13"/>
    </row>
    <row r="20" spans="1:16">
      <c r="A20" s="62" t="s">
        <v>33</v>
      </c>
      <c r="B20" s="37"/>
      <c r="C20" s="38"/>
      <c r="D20" s="38">
        <v>83</v>
      </c>
      <c r="E20" s="38">
        <v>519</v>
      </c>
      <c r="F20" s="193">
        <f t="shared" si="1"/>
        <v>602</v>
      </c>
      <c r="G20" s="186">
        <v>81</v>
      </c>
      <c r="H20" s="186">
        <v>1511</v>
      </c>
      <c r="I20" s="186"/>
      <c r="J20" s="186">
        <v>1978</v>
      </c>
      <c r="K20" s="186">
        <f>973</f>
        <v>973</v>
      </c>
      <c r="L20" s="189">
        <f t="shared" si="2"/>
        <v>4543</v>
      </c>
      <c r="M20" s="127">
        <f t="shared" si="0"/>
        <v>-3941</v>
      </c>
      <c r="N20" s="152">
        <v>91400</v>
      </c>
      <c r="O20" s="1" t="s">
        <v>33</v>
      </c>
      <c r="P20" s="13"/>
    </row>
    <row r="21" spans="1:16">
      <c r="A21" s="62" t="s">
        <v>12</v>
      </c>
      <c r="B21" s="37"/>
      <c r="C21" s="38"/>
      <c r="D21" s="38"/>
      <c r="E21" s="38">
        <v>458</v>
      </c>
      <c r="F21" s="193">
        <f t="shared" si="1"/>
        <v>458</v>
      </c>
      <c r="G21" s="186">
        <v>139</v>
      </c>
      <c r="H21" s="186">
        <v>1842</v>
      </c>
      <c r="I21" s="186">
        <v>108</v>
      </c>
      <c r="J21" s="186">
        <v>1978</v>
      </c>
      <c r="K21" s="186">
        <f>1030</f>
        <v>1030</v>
      </c>
      <c r="L21" s="189">
        <f t="shared" si="2"/>
        <v>5097</v>
      </c>
      <c r="M21" s="127">
        <f t="shared" si="0"/>
        <v>-4639</v>
      </c>
      <c r="N21" s="152">
        <v>90050</v>
      </c>
      <c r="O21" s="1" t="s">
        <v>12</v>
      </c>
      <c r="P21" s="13"/>
    </row>
    <row r="22" spans="1:16" ht="15.75" thickBot="1">
      <c r="A22" s="65" t="s">
        <v>20</v>
      </c>
      <c r="B22" s="37">
        <v>89</v>
      </c>
      <c r="C22" s="38"/>
      <c r="D22" s="38"/>
      <c r="E22" s="38">
        <v>237</v>
      </c>
      <c r="F22" s="193">
        <f t="shared" si="1"/>
        <v>326</v>
      </c>
      <c r="G22" s="186"/>
      <c r="H22" s="186">
        <v>1803</v>
      </c>
      <c r="I22" s="186">
        <v>95</v>
      </c>
      <c r="J22" s="186">
        <v>1978</v>
      </c>
      <c r="K22" s="186">
        <v>1015</v>
      </c>
      <c r="L22" s="189">
        <f t="shared" si="2"/>
        <v>4891</v>
      </c>
      <c r="M22" s="127">
        <f t="shared" si="0"/>
        <v>-4565</v>
      </c>
      <c r="N22" s="152">
        <v>91050</v>
      </c>
      <c r="O22" s="9" t="s">
        <v>20</v>
      </c>
      <c r="P22" s="28"/>
    </row>
    <row r="23" spans="1:16" ht="15.75" thickTop="1">
      <c r="A23" s="65" t="s">
        <v>21</v>
      </c>
      <c r="B23" s="37"/>
      <c r="C23" s="38"/>
      <c r="D23" s="38"/>
      <c r="E23" s="38"/>
      <c r="F23" s="193">
        <f t="shared" si="1"/>
        <v>0</v>
      </c>
      <c r="G23" s="186">
        <v>639</v>
      </c>
      <c r="H23" s="186">
        <v>1952</v>
      </c>
      <c r="I23" s="186">
        <v>1406</v>
      </c>
      <c r="J23" s="186">
        <v>1978</v>
      </c>
      <c r="K23" s="186">
        <f>995+726</f>
        <v>1721</v>
      </c>
      <c r="L23" s="189">
        <f t="shared" si="2"/>
        <v>7696</v>
      </c>
      <c r="M23" s="127">
        <f t="shared" si="0"/>
        <v>-7696</v>
      </c>
      <c r="N23" s="152">
        <v>96600</v>
      </c>
      <c r="O23" s="9" t="s">
        <v>21</v>
      </c>
      <c r="P23" s="31" t="s">
        <v>39</v>
      </c>
    </row>
    <row r="24" spans="1:16" ht="15.75" thickBot="1">
      <c r="A24" s="65" t="s">
        <v>22</v>
      </c>
      <c r="B24" s="37"/>
      <c r="C24" s="38"/>
      <c r="D24" s="38"/>
      <c r="E24" s="38"/>
      <c r="F24" s="193">
        <f t="shared" si="1"/>
        <v>0</v>
      </c>
      <c r="G24" s="186">
        <v>531</v>
      </c>
      <c r="H24" s="186">
        <v>1687</v>
      </c>
      <c r="I24" s="186">
        <v>1235</v>
      </c>
      <c r="J24" s="186">
        <v>1978</v>
      </c>
      <c r="K24" s="186">
        <f>945+261</f>
        <v>1206</v>
      </c>
      <c r="L24" s="189">
        <f t="shared" si="2"/>
        <v>6637</v>
      </c>
      <c r="M24" s="127">
        <f t="shared" si="0"/>
        <v>-6637</v>
      </c>
      <c r="N24" s="152">
        <v>99800</v>
      </c>
      <c r="O24" s="9" t="s">
        <v>22</v>
      </c>
      <c r="P24" s="32">
        <f>AVERAGE(K14:K23)</f>
        <v>1495.3</v>
      </c>
    </row>
    <row r="25" spans="1:16" ht="15.75" thickTop="1">
      <c r="A25" s="65" t="s">
        <v>23</v>
      </c>
      <c r="B25" s="37"/>
      <c r="C25" s="38"/>
      <c r="D25" s="38"/>
      <c r="E25" s="38">
        <v>292</v>
      </c>
      <c r="F25" s="193">
        <f t="shared" si="1"/>
        <v>292</v>
      </c>
      <c r="G25" s="186">
        <v>51</v>
      </c>
      <c r="H25" s="186">
        <v>1213</v>
      </c>
      <c r="I25" s="186">
        <v>736</v>
      </c>
      <c r="J25" s="186">
        <v>1978</v>
      </c>
      <c r="K25" s="186">
        <f>997</f>
        <v>997</v>
      </c>
      <c r="L25" s="189">
        <f t="shared" si="2"/>
        <v>4975</v>
      </c>
      <c r="M25" s="127">
        <f t="shared" si="0"/>
        <v>-4683</v>
      </c>
      <c r="N25" s="152">
        <v>96400</v>
      </c>
      <c r="O25" s="9" t="s">
        <v>23</v>
      </c>
      <c r="P25" s="30"/>
    </row>
    <row r="26" spans="1:16" ht="15.75" thickBot="1">
      <c r="A26" s="65" t="s">
        <v>24</v>
      </c>
      <c r="B26" s="37">
        <v>205</v>
      </c>
      <c r="C26" s="38"/>
      <c r="D26" s="38"/>
      <c r="E26" s="38">
        <v>501</v>
      </c>
      <c r="F26" s="193">
        <f t="shared" si="1"/>
        <v>706</v>
      </c>
      <c r="G26" s="186"/>
      <c r="H26" s="186">
        <v>1016</v>
      </c>
      <c r="I26" s="186">
        <v>310</v>
      </c>
      <c r="J26" s="186">
        <v>1979</v>
      </c>
      <c r="K26" s="186">
        <f>1041</f>
        <v>1041</v>
      </c>
      <c r="L26" s="189">
        <f t="shared" si="2"/>
        <v>4346</v>
      </c>
      <c r="M26" s="127">
        <f t="shared" si="0"/>
        <v>-3640</v>
      </c>
      <c r="N26" s="152">
        <v>91550</v>
      </c>
      <c r="O26" s="9" t="s">
        <v>24</v>
      </c>
      <c r="P26" s="28"/>
    </row>
    <row r="27" spans="1:16">
      <c r="A27" s="65" t="s">
        <v>25</v>
      </c>
      <c r="B27" s="37"/>
      <c r="C27" s="38"/>
      <c r="D27" s="38"/>
      <c r="E27" s="38"/>
      <c r="F27" s="193">
        <f t="shared" si="1"/>
        <v>0</v>
      </c>
      <c r="G27" s="186">
        <v>200</v>
      </c>
      <c r="H27" s="186">
        <v>1144</v>
      </c>
      <c r="I27" s="186">
        <v>810</v>
      </c>
      <c r="J27" s="186">
        <v>1979</v>
      </c>
      <c r="K27" s="186">
        <f>1019+204</f>
        <v>1223</v>
      </c>
      <c r="L27" s="189">
        <f t="shared" si="2"/>
        <v>5356</v>
      </c>
      <c r="M27" s="127">
        <f t="shared" si="0"/>
        <v>-5356</v>
      </c>
      <c r="N27" s="152">
        <v>89050</v>
      </c>
      <c r="O27" s="9" t="s">
        <v>25</v>
      </c>
      <c r="P27" s="11" t="s">
        <v>36</v>
      </c>
    </row>
    <row r="28" spans="1:16" ht="15.75" thickBot="1">
      <c r="A28" s="65" t="s">
        <v>26</v>
      </c>
      <c r="B28" s="40"/>
      <c r="C28" s="41"/>
      <c r="D28" s="41"/>
      <c r="E28" s="41"/>
      <c r="F28" s="194">
        <f t="shared" si="1"/>
        <v>0</v>
      </c>
      <c r="G28" s="190">
        <v>189</v>
      </c>
      <c r="H28" s="190">
        <v>848</v>
      </c>
      <c r="I28" s="190">
        <v>339</v>
      </c>
      <c r="J28" s="190">
        <v>1978</v>
      </c>
      <c r="K28" s="190">
        <f>969+22</f>
        <v>991</v>
      </c>
      <c r="L28" s="191">
        <f t="shared" si="2"/>
        <v>4345</v>
      </c>
      <c r="M28" s="127">
        <f t="shared" si="0"/>
        <v>-4345</v>
      </c>
      <c r="N28" s="152">
        <v>91000</v>
      </c>
      <c r="O28" s="9" t="s">
        <v>26</v>
      </c>
      <c r="P28" s="21">
        <f>AVERAGE(M17:M28)</f>
        <v>-5225.416666666667</v>
      </c>
    </row>
    <row r="29" spans="1:16">
      <c r="A29" s="68" t="s">
        <v>44</v>
      </c>
      <c r="B29" s="121">
        <f t="shared" ref="B29:N29" si="3">SUM(B5:B28)</f>
        <v>294</v>
      </c>
      <c r="C29" s="122">
        <f t="shared" si="3"/>
        <v>0</v>
      </c>
      <c r="D29" s="122">
        <f t="shared" si="3"/>
        <v>83</v>
      </c>
      <c r="E29" s="122">
        <f t="shared" si="3"/>
        <v>2205</v>
      </c>
      <c r="F29" s="195">
        <f t="shared" si="3"/>
        <v>2582</v>
      </c>
      <c r="G29" s="128">
        <f t="shared" si="3"/>
        <v>16018</v>
      </c>
      <c r="H29" s="129">
        <f t="shared" si="3"/>
        <v>38548</v>
      </c>
      <c r="I29" s="129">
        <f t="shared" si="3"/>
        <v>18395</v>
      </c>
      <c r="J29" s="129">
        <f>SUM(J5:J28)</f>
        <v>46698</v>
      </c>
      <c r="K29" s="129">
        <f>SUM(K5:K28)</f>
        <v>36114</v>
      </c>
      <c r="L29" s="196">
        <f t="shared" si="3"/>
        <v>155773</v>
      </c>
      <c r="M29" s="144">
        <f>SUM(M5:M28)</f>
        <v>-153191</v>
      </c>
      <c r="N29" s="175">
        <f t="shared" si="3"/>
        <v>2236250</v>
      </c>
      <c r="O29" s="81" t="s">
        <v>45</v>
      </c>
    </row>
    <row r="30" spans="1:16" ht="15.75" thickBot="1">
      <c r="A30" s="69"/>
      <c r="B30" s="82"/>
      <c r="C30" s="83"/>
      <c r="D30" s="83"/>
      <c r="E30" s="83"/>
      <c r="F30" s="83"/>
      <c r="G30" s="84"/>
      <c r="H30" s="85"/>
      <c r="I30" s="85"/>
      <c r="J30" s="85"/>
      <c r="K30" s="85"/>
      <c r="L30" s="85"/>
      <c r="M30" s="85"/>
      <c r="N30" s="61"/>
      <c r="O30" s="76">
        <f>0-(G29-B29)</f>
        <v>-15724</v>
      </c>
    </row>
    <row r="31" spans="1:16" ht="15.75" thickBot="1">
      <c r="B31" s="6" t="s">
        <v>13</v>
      </c>
    </row>
    <row r="32" spans="1:16">
      <c r="A32" s="33">
        <v>40948</v>
      </c>
      <c r="B32" s="201" t="s">
        <v>42</v>
      </c>
      <c r="C32" s="202"/>
      <c r="D32" s="202"/>
      <c r="E32" s="202"/>
      <c r="F32" s="2" t="s">
        <v>57</v>
      </c>
      <c r="G32" s="205" t="s">
        <v>43</v>
      </c>
      <c r="H32" s="206"/>
      <c r="I32" s="206"/>
      <c r="J32" s="207"/>
      <c r="K32" s="2" t="s">
        <v>56</v>
      </c>
      <c r="L32" s="164" t="s">
        <v>32</v>
      </c>
      <c r="M32" s="1"/>
      <c r="N32" s="1"/>
      <c r="P32" s="10"/>
    </row>
    <row r="33" spans="1:16">
      <c r="A33" s="1"/>
      <c r="B33" s="135" t="s">
        <v>0</v>
      </c>
      <c r="C33" s="6" t="s">
        <v>14</v>
      </c>
      <c r="D33" s="6" t="s">
        <v>15</v>
      </c>
      <c r="E33" s="136" t="s">
        <v>41</v>
      </c>
      <c r="F33" s="136" t="s">
        <v>44</v>
      </c>
      <c r="G33" s="135" t="s">
        <v>0</v>
      </c>
      <c r="H33" s="6" t="s">
        <v>14</v>
      </c>
      <c r="I33" s="6" t="s">
        <v>15</v>
      </c>
      <c r="J33" s="136" t="s">
        <v>41</v>
      </c>
      <c r="K33" s="136" t="s">
        <v>44</v>
      </c>
      <c r="L33" s="7" t="s">
        <v>16</v>
      </c>
      <c r="M33" s="8" t="s">
        <v>27</v>
      </c>
      <c r="N33" s="1"/>
      <c r="P33" s="27" t="s">
        <v>40</v>
      </c>
    </row>
    <row r="34" spans="1:16">
      <c r="A34" s="62" t="s">
        <v>1</v>
      </c>
      <c r="B34" s="45">
        <v>1062</v>
      </c>
      <c r="C34" s="46"/>
      <c r="D34" s="46">
        <v>2331</v>
      </c>
      <c r="E34" s="46">
        <f>1617+361</f>
        <v>1978</v>
      </c>
      <c r="F34" s="192">
        <f>SUM(B34:E34)</f>
        <v>5371</v>
      </c>
      <c r="G34" s="187"/>
      <c r="H34" s="187"/>
      <c r="I34" s="187"/>
      <c r="J34" s="187">
        <f>835+539+1372</f>
        <v>2746</v>
      </c>
      <c r="K34" s="188">
        <f>SUM(G34:J34)</f>
        <v>2746</v>
      </c>
      <c r="L34" s="127">
        <f t="shared" ref="L34:L57" si="4">SUM(B34:E34)-SUM(G34:J34)</f>
        <v>2625</v>
      </c>
      <c r="M34" s="152">
        <v>42202</v>
      </c>
      <c r="N34" s="1" t="s">
        <v>1</v>
      </c>
      <c r="P34" s="13"/>
    </row>
    <row r="35" spans="1:16">
      <c r="A35" s="62" t="s">
        <v>2</v>
      </c>
      <c r="B35" s="48">
        <v>1315</v>
      </c>
      <c r="C35" s="49"/>
      <c r="D35" s="49">
        <v>2016</v>
      </c>
      <c r="E35" s="49">
        <f>1665+40+433</f>
        <v>2138</v>
      </c>
      <c r="F35" s="193">
        <f t="shared" ref="F35:F57" si="5">SUM(B35:E35)</f>
        <v>5469</v>
      </c>
      <c r="G35" s="186"/>
      <c r="H35" s="186"/>
      <c r="I35" s="186"/>
      <c r="J35" s="186">
        <f>586+1378</f>
        <v>1964</v>
      </c>
      <c r="K35" s="189">
        <f t="shared" ref="K35:K56" si="6">SUM(G35:J35)</f>
        <v>1964</v>
      </c>
      <c r="L35" s="127">
        <f t="shared" si="4"/>
        <v>3505</v>
      </c>
      <c r="M35" s="152">
        <v>39926</v>
      </c>
      <c r="N35" s="1" t="s">
        <v>2</v>
      </c>
      <c r="P35" s="13"/>
    </row>
    <row r="36" spans="1:16">
      <c r="A36" s="62" t="s">
        <v>3</v>
      </c>
      <c r="B36" s="48">
        <v>1252</v>
      </c>
      <c r="C36" s="49"/>
      <c r="D36" s="49">
        <v>2226</v>
      </c>
      <c r="E36" s="49">
        <f>2036+662</f>
        <v>2698</v>
      </c>
      <c r="F36" s="193">
        <f t="shared" si="5"/>
        <v>6176</v>
      </c>
      <c r="G36" s="186"/>
      <c r="H36" s="186"/>
      <c r="I36" s="186"/>
      <c r="J36" s="186">
        <f>461+582+1381</f>
        <v>2424</v>
      </c>
      <c r="K36" s="189">
        <f t="shared" si="6"/>
        <v>2424</v>
      </c>
      <c r="L36" s="127">
        <f t="shared" si="4"/>
        <v>3752</v>
      </c>
      <c r="M36" s="152">
        <v>38461</v>
      </c>
      <c r="N36" s="1" t="s">
        <v>3</v>
      </c>
      <c r="P36" s="13"/>
    </row>
    <row r="37" spans="1:16">
      <c r="A37" s="62" t="s">
        <v>4</v>
      </c>
      <c r="B37" s="48">
        <v>912</v>
      </c>
      <c r="C37" s="49"/>
      <c r="D37" s="49">
        <v>2110</v>
      </c>
      <c r="E37" s="49">
        <f>2199+677</f>
        <v>2876</v>
      </c>
      <c r="F37" s="193">
        <f t="shared" si="5"/>
        <v>5898</v>
      </c>
      <c r="G37" s="186"/>
      <c r="H37" s="186"/>
      <c r="I37" s="186"/>
      <c r="J37" s="186">
        <f>455+323+1380</f>
        <v>2158</v>
      </c>
      <c r="K37" s="189">
        <f t="shared" si="6"/>
        <v>2158</v>
      </c>
      <c r="L37" s="127">
        <f t="shared" si="4"/>
        <v>3740</v>
      </c>
      <c r="M37" s="152">
        <v>37707</v>
      </c>
      <c r="N37" s="1" t="s">
        <v>4</v>
      </c>
      <c r="P37" s="13"/>
    </row>
    <row r="38" spans="1:16">
      <c r="A38" s="62" t="s">
        <v>28</v>
      </c>
      <c r="B38" s="48">
        <v>836</v>
      </c>
      <c r="C38" s="49"/>
      <c r="D38" s="49">
        <v>2288</v>
      </c>
      <c r="E38" s="49">
        <f>2348+729</f>
        <v>3077</v>
      </c>
      <c r="F38" s="193">
        <f t="shared" si="5"/>
        <v>6201</v>
      </c>
      <c r="G38" s="186"/>
      <c r="H38" s="186"/>
      <c r="I38" s="186"/>
      <c r="J38" s="186">
        <f>340+397+1286</f>
        <v>2023</v>
      </c>
      <c r="K38" s="189">
        <f t="shared" si="6"/>
        <v>2023</v>
      </c>
      <c r="L38" s="127">
        <f t="shared" si="4"/>
        <v>4178</v>
      </c>
      <c r="M38" s="152">
        <v>37664</v>
      </c>
      <c r="N38" s="1" t="s">
        <v>28</v>
      </c>
      <c r="P38" s="13"/>
    </row>
    <row r="39" spans="1:16">
      <c r="A39" s="62" t="s">
        <v>5</v>
      </c>
      <c r="B39" s="48">
        <v>1013</v>
      </c>
      <c r="C39" s="49"/>
      <c r="D39" s="49">
        <v>1886</v>
      </c>
      <c r="E39" s="49">
        <f>2183+800</f>
        <v>2983</v>
      </c>
      <c r="F39" s="193">
        <f t="shared" si="5"/>
        <v>5882</v>
      </c>
      <c r="G39" s="186"/>
      <c r="H39" s="186"/>
      <c r="I39" s="186"/>
      <c r="J39" s="186">
        <f>408+302+1265</f>
        <v>1975</v>
      </c>
      <c r="K39" s="189">
        <f t="shared" si="6"/>
        <v>1975</v>
      </c>
      <c r="L39" s="127">
        <f t="shared" si="4"/>
        <v>3907</v>
      </c>
      <c r="M39" s="152">
        <v>39380</v>
      </c>
      <c r="N39" s="1" t="s">
        <v>5</v>
      </c>
      <c r="P39" s="13"/>
    </row>
    <row r="40" spans="1:16" ht="15.75" thickBot="1">
      <c r="A40" s="62" t="s">
        <v>9</v>
      </c>
      <c r="B40" s="48">
        <v>790</v>
      </c>
      <c r="C40" s="49"/>
      <c r="D40" s="49">
        <v>1625</v>
      </c>
      <c r="E40" s="49">
        <f>2042+937</f>
        <v>2979</v>
      </c>
      <c r="F40" s="193">
        <f t="shared" si="5"/>
        <v>5394</v>
      </c>
      <c r="G40" s="186"/>
      <c r="H40" s="186"/>
      <c r="I40" s="186"/>
      <c r="J40" s="186">
        <f>342+1282+129</f>
        <v>1753</v>
      </c>
      <c r="K40" s="189">
        <f t="shared" si="6"/>
        <v>1753</v>
      </c>
      <c r="L40" s="127">
        <f t="shared" si="4"/>
        <v>3641</v>
      </c>
      <c r="M40" s="152">
        <v>44421</v>
      </c>
      <c r="N40" s="1" t="s">
        <v>9</v>
      </c>
      <c r="P40" s="28"/>
    </row>
    <row r="41" spans="1:16">
      <c r="A41" s="62" t="s">
        <v>6</v>
      </c>
      <c r="B41" s="48">
        <v>853</v>
      </c>
      <c r="C41" s="49"/>
      <c r="D41" s="49">
        <v>2084</v>
      </c>
      <c r="E41" s="49">
        <f>1552+1052</f>
        <v>2604</v>
      </c>
      <c r="F41" s="193">
        <f t="shared" si="5"/>
        <v>5541</v>
      </c>
      <c r="G41" s="186"/>
      <c r="H41" s="186"/>
      <c r="I41" s="186"/>
      <c r="J41" s="186">
        <f>61+310+645</f>
        <v>1016</v>
      </c>
      <c r="K41" s="189">
        <f t="shared" si="6"/>
        <v>1016</v>
      </c>
      <c r="L41" s="127">
        <f t="shared" si="4"/>
        <v>4525</v>
      </c>
      <c r="M41" s="152">
        <v>49506</v>
      </c>
      <c r="N41" s="1" t="s">
        <v>6</v>
      </c>
      <c r="P41" s="11" t="s">
        <v>38</v>
      </c>
    </row>
    <row r="42" spans="1:16" ht="15.75" thickBot="1">
      <c r="A42" s="62" t="s">
        <v>34</v>
      </c>
      <c r="B42" s="48">
        <v>1183</v>
      </c>
      <c r="C42" s="49"/>
      <c r="D42" s="49">
        <v>1874</v>
      </c>
      <c r="E42" s="49">
        <f>756+1302</f>
        <v>2058</v>
      </c>
      <c r="F42" s="193">
        <f t="shared" si="5"/>
        <v>5115</v>
      </c>
      <c r="G42" s="186"/>
      <c r="H42" s="186"/>
      <c r="I42" s="186"/>
      <c r="J42" s="186">
        <f>97+339+586</f>
        <v>1022</v>
      </c>
      <c r="K42" s="189">
        <f t="shared" si="6"/>
        <v>1022</v>
      </c>
      <c r="L42" s="147">
        <f t="shared" si="4"/>
        <v>4093</v>
      </c>
      <c r="M42" s="152">
        <v>50708</v>
      </c>
      <c r="N42" s="1" t="s">
        <v>34</v>
      </c>
      <c r="P42" s="21">
        <f>AVERAGE(J53:J57,J34:J42)</f>
        <v>1786.1428571428571</v>
      </c>
    </row>
    <row r="43" spans="1:16" ht="15.75" thickBot="1">
      <c r="A43" s="62" t="s">
        <v>7</v>
      </c>
      <c r="B43" s="48">
        <v>1232</v>
      </c>
      <c r="C43" s="49"/>
      <c r="D43" s="49">
        <v>1813</v>
      </c>
      <c r="E43" s="49">
        <f>1098+1331</f>
        <v>2429</v>
      </c>
      <c r="F43" s="193">
        <f t="shared" si="5"/>
        <v>5474</v>
      </c>
      <c r="G43" s="186"/>
      <c r="H43" s="186"/>
      <c r="I43" s="186"/>
      <c r="J43" s="186">
        <f>86+581+561</f>
        <v>1228</v>
      </c>
      <c r="K43" s="189">
        <f t="shared" si="6"/>
        <v>1228</v>
      </c>
      <c r="L43" s="127">
        <f t="shared" si="4"/>
        <v>4246</v>
      </c>
      <c r="M43" s="152">
        <v>50230</v>
      </c>
      <c r="N43" s="1" t="s">
        <v>7</v>
      </c>
      <c r="P43" s="29"/>
    </row>
    <row r="44" spans="1:16">
      <c r="A44" s="62" t="s">
        <v>8</v>
      </c>
      <c r="B44" s="48">
        <v>1000</v>
      </c>
      <c r="C44" s="49"/>
      <c r="D44" s="49">
        <v>1921</v>
      </c>
      <c r="E44" s="49">
        <f>1172+31+1425</f>
        <v>2628</v>
      </c>
      <c r="F44" s="193">
        <f t="shared" si="5"/>
        <v>5549</v>
      </c>
      <c r="G44" s="186"/>
      <c r="H44" s="186"/>
      <c r="I44" s="186"/>
      <c r="J44" s="186">
        <f>588+483</f>
        <v>1071</v>
      </c>
      <c r="K44" s="189">
        <f t="shared" si="6"/>
        <v>1071</v>
      </c>
      <c r="L44" s="127">
        <f t="shared" si="4"/>
        <v>4478</v>
      </c>
      <c r="M44" s="152">
        <v>48842</v>
      </c>
      <c r="N44" s="1" t="s">
        <v>8</v>
      </c>
      <c r="P44" s="11" t="s">
        <v>35</v>
      </c>
    </row>
    <row r="45" spans="1:16" ht="15.75" thickBot="1">
      <c r="A45" s="62" t="s">
        <v>19</v>
      </c>
      <c r="B45" s="48">
        <v>1040</v>
      </c>
      <c r="C45" s="49"/>
      <c r="D45" s="49">
        <v>1929</v>
      </c>
      <c r="E45" s="49">
        <f>1320+216+1586</f>
        <v>3122</v>
      </c>
      <c r="F45" s="193">
        <f t="shared" si="5"/>
        <v>6091</v>
      </c>
      <c r="G45" s="186"/>
      <c r="H45" s="186"/>
      <c r="I45" s="186"/>
      <c r="J45" s="186">
        <f>498+587</f>
        <v>1085</v>
      </c>
      <c r="K45" s="189">
        <f t="shared" si="6"/>
        <v>1085</v>
      </c>
      <c r="L45" s="127">
        <f t="shared" si="4"/>
        <v>5006</v>
      </c>
      <c r="M45" s="152">
        <v>49289</v>
      </c>
      <c r="N45" s="1" t="s">
        <v>19</v>
      </c>
      <c r="P45" s="21">
        <f>AVERAGE(L34:L45)</f>
        <v>3974.6666666666665</v>
      </c>
    </row>
    <row r="46" spans="1:16">
      <c r="A46" s="62" t="s">
        <v>10</v>
      </c>
      <c r="B46" s="48">
        <v>678</v>
      </c>
      <c r="C46" s="49"/>
      <c r="D46" s="49">
        <v>2144</v>
      </c>
      <c r="E46" s="49">
        <f>1631+287+1648</f>
        <v>3566</v>
      </c>
      <c r="F46" s="193">
        <f t="shared" si="5"/>
        <v>6388</v>
      </c>
      <c r="G46" s="186"/>
      <c r="H46" s="186"/>
      <c r="I46" s="186"/>
      <c r="J46" s="186">
        <f>510+582</f>
        <v>1092</v>
      </c>
      <c r="K46" s="189">
        <f t="shared" si="6"/>
        <v>1092</v>
      </c>
      <c r="L46" s="127">
        <f t="shared" si="4"/>
        <v>5296</v>
      </c>
      <c r="M46" s="152">
        <v>48385</v>
      </c>
      <c r="N46" s="1" t="s">
        <v>10</v>
      </c>
      <c r="P46" s="30"/>
    </row>
    <row r="47" spans="1:16">
      <c r="A47" s="62" t="s">
        <v>29</v>
      </c>
      <c r="B47" s="48">
        <v>606</v>
      </c>
      <c r="C47" s="49"/>
      <c r="D47" s="49">
        <v>2037</v>
      </c>
      <c r="E47" s="49">
        <f>1760+373+1566</f>
        <v>3699</v>
      </c>
      <c r="F47" s="193">
        <f t="shared" si="5"/>
        <v>6342</v>
      </c>
      <c r="G47" s="186"/>
      <c r="H47" s="186"/>
      <c r="I47" s="186"/>
      <c r="J47" s="186">
        <f>496+326</f>
        <v>822</v>
      </c>
      <c r="K47" s="189">
        <f t="shared" si="6"/>
        <v>822</v>
      </c>
      <c r="L47" s="127">
        <f t="shared" si="4"/>
        <v>5520</v>
      </c>
      <c r="M47" s="152">
        <v>48101</v>
      </c>
      <c r="N47" s="1" t="s">
        <v>29</v>
      </c>
      <c r="P47" s="13"/>
    </row>
    <row r="48" spans="1:16">
      <c r="A48" s="62" t="s">
        <v>11</v>
      </c>
      <c r="B48" s="48">
        <v>416</v>
      </c>
      <c r="C48" s="49"/>
      <c r="D48" s="49">
        <v>2142</v>
      </c>
      <c r="E48" s="49">
        <f>1954+431+1533</f>
        <v>3918</v>
      </c>
      <c r="F48" s="193">
        <f t="shared" si="5"/>
        <v>6476</v>
      </c>
      <c r="G48" s="186"/>
      <c r="H48" s="186"/>
      <c r="I48" s="186"/>
      <c r="J48" s="186">
        <f>53+487</f>
        <v>540</v>
      </c>
      <c r="K48" s="189">
        <f t="shared" si="6"/>
        <v>540</v>
      </c>
      <c r="L48" s="127">
        <f t="shared" si="4"/>
        <v>5936</v>
      </c>
      <c r="M48" s="152">
        <v>94450</v>
      </c>
      <c r="N48" s="1" t="s">
        <v>11</v>
      </c>
      <c r="P48" s="13"/>
    </row>
    <row r="49" spans="1:16">
      <c r="A49" s="62" t="s">
        <v>33</v>
      </c>
      <c r="B49" s="48">
        <v>81</v>
      </c>
      <c r="C49" s="49"/>
      <c r="D49" s="49">
        <v>2205</v>
      </c>
      <c r="E49" s="49">
        <f>1973+548+1472+23</f>
        <v>4016</v>
      </c>
      <c r="F49" s="193">
        <f t="shared" si="5"/>
        <v>6302</v>
      </c>
      <c r="G49" s="186"/>
      <c r="H49" s="186"/>
      <c r="I49" s="186"/>
      <c r="J49" s="186">
        <v>600</v>
      </c>
      <c r="K49" s="189">
        <f t="shared" si="6"/>
        <v>600</v>
      </c>
      <c r="L49" s="147">
        <f t="shared" si="4"/>
        <v>5702</v>
      </c>
      <c r="M49" s="152">
        <v>48143</v>
      </c>
      <c r="N49" s="1" t="s">
        <v>33</v>
      </c>
      <c r="P49" s="13"/>
    </row>
    <row r="50" spans="1:16">
      <c r="A50" s="62" t="s">
        <v>12</v>
      </c>
      <c r="B50" s="48">
        <v>139</v>
      </c>
      <c r="C50" s="49"/>
      <c r="D50" s="49">
        <v>2369</v>
      </c>
      <c r="E50" s="49">
        <f>1961+501+1504+315</f>
        <v>4281</v>
      </c>
      <c r="F50" s="193">
        <f t="shared" si="5"/>
        <v>6789</v>
      </c>
      <c r="G50" s="186"/>
      <c r="H50" s="186"/>
      <c r="I50" s="186"/>
      <c r="J50" s="186">
        <f>599</f>
        <v>599</v>
      </c>
      <c r="K50" s="189">
        <f t="shared" si="6"/>
        <v>599</v>
      </c>
      <c r="L50" s="127">
        <f t="shared" si="4"/>
        <v>6190</v>
      </c>
      <c r="M50" s="152">
        <v>48894</v>
      </c>
      <c r="N50" s="1" t="s">
        <v>12</v>
      </c>
      <c r="P50" s="13"/>
    </row>
    <row r="51" spans="1:16" ht="15.75" thickBot="1">
      <c r="A51" s="65" t="s">
        <v>20</v>
      </c>
      <c r="B51" s="48"/>
      <c r="C51" s="49"/>
      <c r="D51" s="49">
        <v>2348</v>
      </c>
      <c r="E51" s="49">
        <f>1605+462+1618+228</f>
        <v>3913</v>
      </c>
      <c r="F51" s="193">
        <f t="shared" si="5"/>
        <v>6261</v>
      </c>
      <c r="G51" s="186"/>
      <c r="H51" s="186"/>
      <c r="I51" s="186"/>
      <c r="J51" s="186">
        <v>512</v>
      </c>
      <c r="K51" s="189">
        <f t="shared" si="6"/>
        <v>512</v>
      </c>
      <c r="L51" s="127">
        <f t="shared" si="4"/>
        <v>5749</v>
      </c>
      <c r="M51" s="152">
        <v>51469</v>
      </c>
      <c r="N51" s="9" t="s">
        <v>20</v>
      </c>
      <c r="P51" s="28"/>
    </row>
    <row r="52" spans="1:16" ht="15.75" thickTop="1">
      <c r="A52" s="65" t="s">
        <v>21</v>
      </c>
      <c r="B52" s="48">
        <v>639</v>
      </c>
      <c r="C52" s="49"/>
      <c r="D52" s="49">
        <v>1790</v>
      </c>
      <c r="E52" s="49">
        <f>1050+107+1556</f>
        <v>2713</v>
      </c>
      <c r="F52" s="193">
        <f t="shared" si="5"/>
        <v>5142</v>
      </c>
      <c r="G52" s="186"/>
      <c r="H52" s="186"/>
      <c r="I52" s="186"/>
      <c r="J52" s="186">
        <f>83+675</f>
        <v>758</v>
      </c>
      <c r="K52" s="189">
        <f t="shared" si="6"/>
        <v>758</v>
      </c>
      <c r="L52" s="127">
        <f t="shared" si="4"/>
        <v>4384</v>
      </c>
      <c r="M52" s="152">
        <v>52216</v>
      </c>
      <c r="N52" s="9" t="s">
        <v>21</v>
      </c>
      <c r="P52" s="31" t="s">
        <v>39</v>
      </c>
    </row>
    <row r="53" spans="1:16" ht="15.75" thickBot="1">
      <c r="A53" s="65" t="s">
        <v>22</v>
      </c>
      <c r="B53" s="48">
        <v>531</v>
      </c>
      <c r="C53" s="49"/>
      <c r="D53" s="49">
        <v>1885</v>
      </c>
      <c r="E53" s="49">
        <f>959+96+1519+46</f>
        <v>2620</v>
      </c>
      <c r="F53" s="193">
        <f t="shared" si="5"/>
        <v>5036</v>
      </c>
      <c r="G53" s="186"/>
      <c r="H53" s="186"/>
      <c r="I53" s="186"/>
      <c r="J53" s="186">
        <v>839</v>
      </c>
      <c r="K53" s="189">
        <f t="shared" si="6"/>
        <v>839</v>
      </c>
      <c r="L53" s="127">
        <f t="shared" si="4"/>
        <v>4197</v>
      </c>
      <c r="M53" s="152">
        <v>51651</v>
      </c>
      <c r="N53" s="9" t="s">
        <v>22</v>
      </c>
      <c r="P53" s="32">
        <f>AVERAGE(J43:J52)</f>
        <v>830.7</v>
      </c>
    </row>
    <row r="54" spans="1:16" ht="15.75" thickTop="1">
      <c r="A54" s="65" t="s">
        <v>23</v>
      </c>
      <c r="B54" s="48">
        <v>51</v>
      </c>
      <c r="C54" s="49"/>
      <c r="D54" s="49">
        <v>2290</v>
      </c>
      <c r="E54" s="49">
        <f>1288+90+1300</f>
        <v>2678</v>
      </c>
      <c r="F54" s="193">
        <f t="shared" si="5"/>
        <v>5019</v>
      </c>
      <c r="G54" s="186"/>
      <c r="H54" s="186"/>
      <c r="I54" s="186"/>
      <c r="J54" s="186">
        <f>853+105</f>
        <v>958</v>
      </c>
      <c r="K54" s="189">
        <f t="shared" si="6"/>
        <v>958</v>
      </c>
      <c r="L54" s="127">
        <f t="shared" si="4"/>
        <v>4061</v>
      </c>
      <c r="M54" s="152">
        <v>49679</v>
      </c>
      <c r="N54" s="9" t="s">
        <v>23</v>
      </c>
      <c r="P54" s="30"/>
    </row>
    <row r="55" spans="1:16" ht="15.75" thickBot="1">
      <c r="A55" s="65" t="s">
        <v>24</v>
      </c>
      <c r="B55" s="48"/>
      <c r="C55" s="49"/>
      <c r="D55" s="49">
        <v>2545</v>
      </c>
      <c r="E55" s="49">
        <f>1558+949</f>
        <v>2507</v>
      </c>
      <c r="F55" s="193">
        <f t="shared" si="5"/>
        <v>5052</v>
      </c>
      <c r="G55" s="186">
        <v>205</v>
      </c>
      <c r="H55" s="186"/>
      <c r="I55" s="186"/>
      <c r="J55" s="186">
        <f>159+196+853</f>
        <v>1208</v>
      </c>
      <c r="K55" s="189">
        <f t="shared" si="6"/>
        <v>1413</v>
      </c>
      <c r="L55" s="127">
        <f t="shared" si="4"/>
        <v>3639</v>
      </c>
      <c r="M55" s="152">
        <v>47860</v>
      </c>
      <c r="N55" s="9" t="s">
        <v>24</v>
      </c>
      <c r="P55" s="28"/>
    </row>
    <row r="56" spans="1:16">
      <c r="A56" s="65" t="s">
        <v>25</v>
      </c>
      <c r="B56" s="48">
        <v>200</v>
      </c>
      <c r="C56" s="49"/>
      <c r="D56" s="49">
        <v>2535</v>
      </c>
      <c r="E56" s="49">
        <f>1658+624</f>
        <v>2282</v>
      </c>
      <c r="F56" s="193">
        <f t="shared" si="5"/>
        <v>5017</v>
      </c>
      <c r="G56" s="186"/>
      <c r="H56" s="186"/>
      <c r="I56" s="186"/>
      <c r="J56" s="186">
        <f>607+570+1294</f>
        <v>2471</v>
      </c>
      <c r="K56" s="189">
        <f t="shared" si="6"/>
        <v>2471</v>
      </c>
      <c r="L56" s="127">
        <f t="shared" si="4"/>
        <v>2546</v>
      </c>
      <c r="M56" s="152">
        <v>46965</v>
      </c>
      <c r="N56" s="9" t="s">
        <v>25</v>
      </c>
      <c r="P56" s="11" t="s">
        <v>36</v>
      </c>
    </row>
    <row r="57" spans="1:16" ht="15.75" thickBot="1">
      <c r="A57" s="65" t="s">
        <v>26</v>
      </c>
      <c r="B57" s="140">
        <v>189</v>
      </c>
      <c r="C57" s="141"/>
      <c r="D57" s="141">
        <v>2561</v>
      </c>
      <c r="E57" s="141">
        <f>1820+453</f>
        <v>2273</v>
      </c>
      <c r="F57" s="194">
        <f t="shared" si="5"/>
        <v>5023</v>
      </c>
      <c r="G57" s="190"/>
      <c r="H57" s="190"/>
      <c r="I57" s="190"/>
      <c r="J57" s="190">
        <f>738+414+1297</f>
        <v>2449</v>
      </c>
      <c r="K57" s="191">
        <f>SUM(G57:J57)</f>
        <v>2449</v>
      </c>
      <c r="L57" s="127">
        <f t="shared" si="4"/>
        <v>2574</v>
      </c>
      <c r="M57" s="152">
        <v>44197</v>
      </c>
      <c r="N57" s="9" t="s">
        <v>26</v>
      </c>
      <c r="P57" s="21">
        <f>AVERAGE(L46:L57)</f>
        <v>4649.5</v>
      </c>
    </row>
    <row r="58" spans="1:16">
      <c r="A58" s="66" t="s">
        <v>44</v>
      </c>
      <c r="B58" s="79">
        <f t="shared" ref="B58:K58" si="7">SUM(B34:B57)</f>
        <v>16018</v>
      </c>
      <c r="C58" s="54">
        <f t="shared" si="7"/>
        <v>0</v>
      </c>
      <c r="D58" s="54">
        <f t="shared" si="7"/>
        <v>50954</v>
      </c>
      <c r="E58" s="54">
        <f t="shared" si="7"/>
        <v>70036</v>
      </c>
      <c r="F58" s="196">
        <f t="shared" si="7"/>
        <v>137008</v>
      </c>
      <c r="G58" s="79">
        <f t="shared" si="7"/>
        <v>205</v>
      </c>
      <c r="H58" s="54">
        <f t="shared" si="7"/>
        <v>0</v>
      </c>
      <c r="I58" s="54">
        <f t="shared" si="7"/>
        <v>0</v>
      </c>
      <c r="J58" s="54">
        <f>SUM(J34:J57)</f>
        <v>33313</v>
      </c>
      <c r="K58" s="196">
        <f t="shared" si="7"/>
        <v>33518</v>
      </c>
      <c r="L58" s="176">
        <f>SUM(L34:L57)</f>
        <v>103490</v>
      </c>
      <c r="M58" s="185">
        <f>SUM(M34:M57)</f>
        <v>1160346</v>
      </c>
      <c r="N58" s="80" t="s">
        <v>46</v>
      </c>
    </row>
    <row r="59" spans="1:16" ht="15.75" thickBot="1">
      <c r="A59" s="16"/>
      <c r="B59" s="181"/>
      <c r="C59" s="182"/>
      <c r="D59" s="182"/>
      <c r="E59" s="183"/>
      <c r="F59" s="183"/>
      <c r="G59" s="181"/>
      <c r="H59" s="182"/>
      <c r="I59" s="182"/>
      <c r="J59" s="183"/>
      <c r="K59" s="182"/>
      <c r="L59" s="184"/>
      <c r="N59" s="78">
        <f>B58-G58</f>
        <v>15813</v>
      </c>
    </row>
    <row r="60" spans="1:16">
      <c r="B60" s="177" t="s">
        <v>0</v>
      </c>
      <c r="C60" s="178" t="s">
        <v>14</v>
      </c>
      <c r="D60" s="178" t="s">
        <v>15</v>
      </c>
      <c r="E60" s="179" t="s">
        <v>41</v>
      </c>
      <c r="F60" s="179"/>
      <c r="G60" s="177" t="s">
        <v>0</v>
      </c>
      <c r="H60" s="178" t="s">
        <v>14</v>
      </c>
      <c r="I60" s="178" t="s">
        <v>15</v>
      </c>
      <c r="J60" s="179" t="s">
        <v>41</v>
      </c>
      <c r="K60" s="178" t="s">
        <v>44</v>
      </c>
      <c r="L60" s="180" t="s">
        <v>16</v>
      </c>
    </row>
    <row r="61" spans="1:16">
      <c r="B61" s="165" t="s">
        <v>42</v>
      </c>
      <c r="C61" s="166"/>
      <c r="D61" s="166"/>
      <c r="E61" s="166"/>
      <c r="F61" s="117"/>
      <c r="G61" s="167" t="s">
        <v>43</v>
      </c>
      <c r="H61" s="168"/>
      <c r="I61" s="168"/>
      <c r="J61" s="169"/>
      <c r="K61" s="165" t="s">
        <v>56</v>
      </c>
      <c r="L61" s="165" t="s">
        <v>32</v>
      </c>
    </row>
  </sheetData>
  <mergeCells count="4">
    <mergeCell ref="B3:E3"/>
    <mergeCell ref="G3:K3"/>
    <mergeCell ref="B32:E32"/>
    <mergeCell ref="G32:J32"/>
  </mergeCells>
  <phoneticPr fontId="8" type="noConversion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58"/>
  <sheetViews>
    <sheetView tabSelected="1" topLeftCell="F31" workbookViewId="0">
      <selection activeCell="F43" sqref="F43"/>
    </sheetView>
  </sheetViews>
  <sheetFormatPr baseColWidth="10" defaultRowHeight="15"/>
  <cols>
    <col min="13" max="14" width="12.7109375" bestFit="1" customWidth="1"/>
    <col min="16" max="16" width="16.85546875" bestFit="1" customWidth="1"/>
  </cols>
  <sheetData>
    <row r="2" spans="1:16" ht="15.75" thickBot="1">
      <c r="B2" s="6" t="s">
        <v>0</v>
      </c>
    </row>
    <row r="3" spans="1:16">
      <c r="A3" s="33">
        <v>40949</v>
      </c>
      <c r="B3" s="201" t="s">
        <v>42</v>
      </c>
      <c r="C3" s="202"/>
      <c r="D3" s="202"/>
      <c r="E3" s="202"/>
      <c r="F3" s="197" t="s">
        <v>57</v>
      </c>
      <c r="G3" s="200" t="s">
        <v>43</v>
      </c>
      <c r="H3" s="200"/>
      <c r="I3" s="200"/>
      <c r="J3" s="200"/>
      <c r="K3" s="200"/>
      <c r="L3" s="197" t="s">
        <v>56</v>
      </c>
      <c r="M3" s="1"/>
      <c r="N3" s="1"/>
      <c r="O3" s="1"/>
      <c r="P3" s="10"/>
    </row>
    <row r="4" spans="1:16">
      <c r="A4" s="1"/>
      <c r="B4" s="6" t="s">
        <v>13</v>
      </c>
      <c r="C4" s="6" t="s">
        <v>14</v>
      </c>
      <c r="D4" s="6" t="s">
        <v>15</v>
      </c>
      <c r="E4" s="120" t="s">
        <v>18</v>
      </c>
      <c r="F4" s="198" t="s">
        <v>44</v>
      </c>
      <c r="G4" s="6" t="s">
        <v>13</v>
      </c>
      <c r="H4" s="6" t="s">
        <v>14</v>
      </c>
      <c r="I4" s="6" t="s">
        <v>53</v>
      </c>
      <c r="J4" s="6" t="s">
        <v>15</v>
      </c>
      <c r="K4" s="120" t="s">
        <v>55</v>
      </c>
      <c r="L4" s="198" t="s">
        <v>44</v>
      </c>
      <c r="M4" s="7" t="s">
        <v>16</v>
      </c>
      <c r="N4" s="8" t="s">
        <v>27</v>
      </c>
      <c r="O4" s="1"/>
      <c r="P4" s="27" t="s">
        <v>40</v>
      </c>
    </row>
    <row r="5" spans="1:16">
      <c r="A5" s="62" t="s">
        <v>1</v>
      </c>
      <c r="B5" s="35"/>
      <c r="C5" s="36"/>
      <c r="D5" s="36">
        <v>47</v>
      </c>
      <c r="E5" s="154"/>
      <c r="F5" s="220">
        <f>SUM(B5:E5)</f>
        <v>47</v>
      </c>
      <c r="G5" s="211">
        <v>481</v>
      </c>
      <c r="H5" s="212">
        <v>1169</v>
      </c>
      <c r="I5" s="212">
        <v>1978</v>
      </c>
      <c r="J5" s="212"/>
      <c r="K5" s="213">
        <f>933+582</f>
        <v>1515</v>
      </c>
      <c r="L5" s="210">
        <f>SUM(G5:K5)</f>
        <v>5143</v>
      </c>
      <c r="M5" s="1">
        <f t="shared" ref="M5:M28" si="0">SUM(B5:E5)-SUM(G5:K5)</f>
        <v>-5096</v>
      </c>
      <c r="N5" s="1">
        <v>88750</v>
      </c>
      <c r="O5" s="1" t="s">
        <v>1</v>
      </c>
      <c r="P5" s="13"/>
    </row>
    <row r="6" spans="1:16">
      <c r="A6" s="62" t="s">
        <v>2</v>
      </c>
      <c r="B6" s="37"/>
      <c r="C6" s="38"/>
      <c r="D6" s="38"/>
      <c r="E6" s="51"/>
      <c r="F6" s="220">
        <f t="shared" ref="F6:F28" si="1">SUM(B6:E6)</f>
        <v>0</v>
      </c>
      <c r="G6" s="214">
        <v>740</v>
      </c>
      <c r="H6" s="215">
        <v>1534</v>
      </c>
      <c r="I6" s="215">
        <v>1979</v>
      </c>
      <c r="J6" s="215">
        <v>141</v>
      </c>
      <c r="K6" s="216">
        <f>1110+691</f>
        <v>1801</v>
      </c>
      <c r="L6" s="210">
        <f t="shared" ref="L6:L28" si="2">SUM(G6:K6)</f>
        <v>6195</v>
      </c>
      <c r="M6" s="1">
        <f t="shared" si="0"/>
        <v>-6195</v>
      </c>
      <c r="N6" s="1">
        <v>87050</v>
      </c>
      <c r="O6" s="1" t="s">
        <v>2</v>
      </c>
      <c r="P6" s="13"/>
    </row>
    <row r="7" spans="1:16">
      <c r="A7" s="62" t="s">
        <v>3</v>
      </c>
      <c r="B7" s="37"/>
      <c r="C7" s="38"/>
      <c r="D7" s="38">
        <v>12</v>
      </c>
      <c r="E7" s="51"/>
      <c r="F7" s="220">
        <f t="shared" si="1"/>
        <v>12</v>
      </c>
      <c r="G7" s="214">
        <v>938</v>
      </c>
      <c r="H7" s="215">
        <v>1484</v>
      </c>
      <c r="I7" s="215">
        <v>1989</v>
      </c>
      <c r="J7" s="215"/>
      <c r="K7" s="216">
        <f>1119+440</f>
        <v>1559</v>
      </c>
      <c r="L7" s="210">
        <f t="shared" si="2"/>
        <v>5970</v>
      </c>
      <c r="M7" s="1">
        <f t="shared" si="0"/>
        <v>-5958</v>
      </c>
      <c r="N7" s="1">
        <v>88000</v>
      </c>
      <c r="O7" s="1" t="s">
        <v>3</v>
      </c>
      <c r="P7" s="13"/>
    </row>
    <row r="8" spans="1:16">
      <c r="A8" s="62" t="s">
        <v>4</v>
      </c>
      <c r="B8" s="37"/>
      <c r="C8" s="38"/>
      <c r="D8" s="38">
        <v>463</v>
      </c>
      <c r="E8" s="51"/>
      <c r="F8" s="220">
        <f t="shared" si="1"/>
        <v>463</v>
      </c>
      <c r="G8" s="214">
        <v>811</v>
      </c>
      <c r="H8" s="215">
        <v>1353</v>
      </c>
      <c r="I8" s="215">
        <v>1989</v>
      </c>
      <c r="J8" s="215"/>
      <c r="K8" s="216">
        <f>1064+340</f>
        <v>1404</v>
      </c>
      <c r="L8" s="210">
        <f t="shared" si="2"/>
        <v>5557</v>
      </c>
      <c r="M8" s="1">
        <f t="shared" si="0"/>
        <v>-5094</v>
      </c>
      <c r="N8" s="1">
        <v>85300</v>
      </c>
      <c r="O8" s="1" t="s">
        <v>4</v>
      </c>
      <c r="P8" s="13"/>
    </row>
    <row r="9" spans="1:16">
      <c r="A9" s="62" t="s">
        <v>28</v>
      </c>
      <c r="B9" s="37"/>
      <c r="C9" s="38"/>
      <c r="D9" s="38">
        <v>579</v>
      </c>
      <c r="E9" s="51"/>
      <c r="F9" s="220">
        <f t="shared" si="1"/>
        <v>579</v>
      </c>
      <c r="G9" s="214">
        <v>653</v>
      </c>
      <c r="H9" s="215">
        <v>1299</v>
      </c>
      <c r="I9" s="215">
        <v>1989</v>
      </c>
      <c r="J9" s="215"/>
      <c r="K9" s="216">
        <f>1118+271</f>
        <v>1389</v>
      </c>
      <c r="L9" s="210">
        <f t="shared" si="2"/>
        <v>5330</v>
      </c>
      <c r="M9" s="1">
        <f t="shared" si="0"/>
        <v>-4751</v>
      </c>
      <c r="N9" s="1">
        <v>83150</v>
      </c>
      <c r="O9" s="1" t="s">
        <v>28</v>
      </c>
      <c r="P9" s="13"/>
    </row>
    <row r="10" spans="1:16">
      <c r="A10" s="62" t="s">
        <v>5</v>
      </c>
      <c r="B10" s="37"/>
      <c r="C10" s="38"/>
      <c r="D10" s="38">
        <v>287</v>
      </c>
      <c r="E10" s="51"/>
      <c r="F10" s="220">
        <f t="shared" si="1"/>
        <v>287</v>
      </c>
      <c r="G10" s="214">
        <v>800</v>
      </c>
      <c r="H10" s="215">
        <v>1614</v>
      </c>
      <c r="I10" s="215">
        <v>1989</v>
      </c>
      <c r="J10" s="215"/>
      <c r="K10" s="216">
        <f>1119+244</f>
        <v>1363</v>
      </c>
      <c r="L10" s="210">
        <f t="shared" si="2"/>
        <v>5766</v>
      </c>
      <c r="M10" s="1">
        <f t="shared" si="0"/>
        <v>-5479</v>
      </c>
      <c r="N10" s="1">
        <v>84300</v>
      </c>
      <c r="O10" s="1" t="s">
        <v>5</v>
      </c>
      <c r="P10" s="13"/>
    </row>
    <row r="11" spans="1:16" ht="15.75" thickBot="1">
      <c r="A11" s="62" t="s">
        <v>9</v>
      </c>
      <c r="B11" s="37"/>
      <c r="C11" s="38"/>
      <c r="D11" s="38"/>
      <c r="E11" s="51"/>
      <c r="F11" s="220">
        <f t="shared" si="1"/>
        <v>0</v>
      </c>
      <c r="G11" s="214">
        <v>907</v>
      </c>
      <c r="H11" s="215">
        <v>1878</v>
      </c>
      <c r="I11" s="215">
        <v>1989</v>
      </c>
      <c r="J11" s="215">
        <v>482</v>
      </c>
      <c r="K11" s="216">
        <f>1142+555</f>
        <v>1697</v>
      </c>
      <c r="L11" s="210">
        <f t="shared" si="2"/>
        <v>6953</v>
      </c>
      <c r="M11" s="1">
        <f t="shared" si="0"/>
        <v>-6953</v>
      </c>
      <c r="N11" s="9">
        <v>88900</v>
      </c>
      <c r="O11" s="1" t="s">
        <v>9</v>
      </c>
      <c r="P11" s="28"/>
    </row>
    <row r="12" spans="1:16">
      <c r="A12" s="62" t="s">
        <v>6</v>
      </c>
      <c r="B12" s="37"/>
      <c r="C12" s="38"/>
      <c r="D12" s="38"/>
      <c r="E12" s="51"/>
      <c r="F12" s="220">
        <f t="shared" si="1"/>
        <v>0</v>
      </c>
      <c r="G12" s="214">
        <v>823</v>
      </c>
      <c r="H12" s="215">
        <v>1949</v>
      </c>
      <c r="I12" s="215">
        <v>1989</v>
      </c>
      <c r="J12" s="215">
        <v>1056</v>
      </c>
      <c r="K12" s="216">
        <f>987+514</f>
        <v>1501</v>
      </c>
      <c r="L12" s="210">
        <f t="shared" si="2"/>
        <v>7318</v>
      </c>
      <c r="M12" s="1">
        <f t="shared" si="0"/>
        <v>-7318</v>
      </c>
      <c r="N12" s="1">
        <v>95000</v>
      </c>
      <c r="O12" s="1" t="s">
        <v>6</v>
      </c>
      <c r="P12" s="11" t="s">
        <v>38</v>
      </c>
    </row>
    <row r="13" spans="1:16" ht="15.75" thickBot="1">
      <c r="A13" s="62" t="s">
        <v>34</v>
      </c>
      <c r="B13" s="37"/>
      <c r="C13" s="38"/>
      <c r="D13" s="38"/>
      <c r="E13" s="51"/>
      <c r="F13" s="220">
        <f t="shared" si="1"/>
        <v>0</v>
      </c>
      <c r="G13" s="214">
        <v>786</v>
      </c>
      <c r="H13" s="215">
        <v>1925</v>
      </c>
      <c r="I13" s="215">
        <v>1989</v>
      </c>
      <c r="J13" s="215">
        <v>1075</v>
      </c>
      <c r="K13" s="216">
        <f>1070+749</f>
        <v>1819</v>
      </c>
      <c r="L13" s="210">
        <f t="shared" si="2"/>
        <v>7594</v>
      </c>
      <c r="M13" s="1">
        <f t="shared" si="0"/>
        <v>-7594</v>
      </c>
      <c r="N13" s="1">
        <v>97250</v>
      </c>
      <c r="O13" s="1" t="s">
        <v>34</v>
      </c>
      <c r="P13" s="21">
        <f>AVERAGE(K24:K28,K5:K13)</f>
        <v>1560.8888888888889</v>
      </c>
    </row>
    <row r="14" spans="1:16" ht="15.75" thickBot="1">
      <c r="A14" s="62" t="s">
        <v>7</v>
      </c>
      <c r="B14" s="37"/>
      <c r="C14" s="38"/>
      <c r="D14" s="38"/>
      <c r="E14" s="51"/>
      <c r="F14" s="220">
        <f t="shared" si="1"/>
        <v>0</v>
      </c>
      <c r="G14" s="214"/>
      <c r="H14" s="215"/>
      <c r="I14" s="215"/>
      <c r="J14" s="215"/>
      <c r="K14" s="216"/>
      <c r="L14" s="210">
        <f t="shared" si="2"/>
        <v>0</v>
      </c>
      <c r="M14" s="1">
        <f t="shared" si="0"/>
        <v>0</v>
      </c>
      <c r="N14" s="1"/>
      <c r="O14" s="1" t="s">
        <v>7</v>
      </c>
      <c r="P14" s="29"/>
    </row>
    <row r="15" spans="1:16">
      <c r="A15" s="62" t="s">
        <v>8</v>
      </c>
      <c r="B15" s="37"/>
      <c r="C15" s="38"/>
      <c r="D15" s="38"/>
      <c r="E15" s="51"/>
      <c r="F15" s="220">
        <f t="shared" si="1"/>
        <v>0</v>
      </c>
      <c r="G15" s="214"/>
      <c r="H15" s="215"/>
      <c r="I15" s="215"/>
      <c r="J15" s="215"/>
      <c r="K15" s="216"/>
      <c r="L15" s="210">
        <f t="shared" si="2"/>
        <v>0</v>
      </c>
      <c r="M15" s="1">
        <f t="shared" si="0"/>
        <v>0</v>
      </c>
      <c r="N15" s="1"/>
      <c r="O15" s="1" t="s">
        <v>8</v>
      </c>
      <c r="P15" s="11" t="s">
        <v>35</v>
      </c>
    </row>
    <row r="16" spans="1:16" ht="15.75" thickBot="1">
      <c r="A16" s="62" t="s">
        <v>19</v>
      </c>
      <c r="B16" s="37"/>
      <c r="C16" s="38"/>
      <c r="D16" s="38"/>
      <c r="E16" s="51"/>
      <c r="F16" s="220">
        <f t="shared" si="1"/>
        <v>0</v>
      </c>
      <c r="G16" s="214"/>
      <c r="H16" s="215"/>
      <c r="I16" s="215"/>
      <c r="J16" s="215"/>
      <c r="K16" s="216"/>
      <c r="L16" s="210">
        <f t="shared" si="2"/>
        <v>0</v>
      </c>
      <c r="M16" s="1">
        <f t="shared" si="0"/>
        <v>0</v>
      </c>
      <c r="N16" s="1"/>
      <c r="O16" s="1" t="s">
        <v>19</v>
      </c>
      <c r="P16" s="21">
        <f>AVERAGE(M5:M16)</f>
        <v>-4536.5</v>
      </c>
    </row>
    <row r="17" spans="1:16">
      <c r="A17" s="62" t="s">
        <v>10</v>
      </c>
      <c r="B17" s="37"/>
      <c r="C17" s="38"/>
      <c r="D17" s="38"/>
      <c r="E17" s="51"/>
      <c r="F17" s="220">
        <f t="shared" si="1"/>
        <v>0</v>
      </c>
      <c r="G17" s="214"/>
      <c r="H17" s="215"/>
      <c r="I17" s="215"/>
      <c r="J17" s="215"/>
      <c r="K17" s="216"/>
      <c r="L17" s="210">
        <f t="shared" si="2"/>
        <v>0</v>
      </c>
      <c r="M17" s="1">
        <f t="shared" si="0"/>
        <v>0</v>
      </c>
      <c r="N17" s="1"/>
      <c r="O17" s="1" t="s">
        <v>10</v>
      </c>
      <c r="P17" s="30"/>
    </row>
    <row r="18" spans="1:16">
      <c r="A18" s="62" t="s">
        <v>29</v>
      </c>
      <c r="B18" s="37"/>
      <c r="C18" s="38"/>
      <c r="D18" s="38"/>
      <c r="E18" s="51"/>
      <c r="F18" s="220">
        <f t="shared" si="1"/>
        <v>0</v>
      </c>
      <c r="G18" s="214"/>
      <c r="H18" s="215"/>
      <c r="I18" s="215"/>
      <c r="J18" s="215"/>
      <c r="K18" s="216"/>
      <c r="L18" s="210">
        <f t="shared" si="2"/>
        <v>0</v>
      </c>
      <c r="M18" s="1">
        <f t="shared" si="0"/>
        <v>0</v>
      </c>
      <c r="N18" s="9"/>
      <c r="O18" s="1" t="s">
        <v>29</v>
      </c>
      <c r="P18" s="13"/>
    </row>
    <row r="19" spans="1:16">
      <c r="A19" s="62" t="s">
        <v>11</v>
      </c>
      <c r="B19" s="37"/>
      <c r="C19" s="38"/>
      <c r="D19" s="38"/>
      <c r="E19" s="51"/>
      <c r="F19" s="220">
        <f t="shared" si="1"/>
        <v>0</v>
      </c>
      <c r="G19" s="214"/>
      <c r="H19" s="215"/>
      <c r="I19" s="215"/>
      <c r="J19" s="215"/>
      <c r="K19" s="216"/>
      <c r="L19" s="210">
        <f t="shared" si="2"/>
        <v>0</v>
      </c>
      <c r="M19" s="1">
        <f t="shared" si="0"/>
        <v>0</v>
      </c>
      <c r="N19" s="1"/>
      <c r="O19" s="1" t="s">
        <v>11</v>
      </c>
      <c r="P19" s="13"/>
    </row>
    <row r="20" spans="1:16">
      <c r="A20" s="62" t="s">
        <v>33</v>
      </c>
      <c r="B20" s="37"/>
      <c r="C20" s="38"/>
      <c r="D20" s="38"/>
      <c r="E20" s="51"/>
      <c r="F20" s="220">
        <f t="shared" si="1"/>
        <v>0</v>
      </c>
      <c r="G20" s="214"/>
      <c r="H20" s="215"/>
      <c r="I20" s="215"/>
      <c r="J20" s="215"/>
      <c r="K20" s="216"/>
      <c r="L20" s="210">
        <f t="shared" si="2"/>
        <v>0</v>
      </c>
      <c r="M20" s="1">
        <f t="shared" si="0"/>
        <v>0</v>
      </c>
      <c r="N20" s="1"/>
      <c r="O20" s="1" t="s">
        <v>33</v>
      </c>
      <c r="P20" s="13"/>
    </row>
    <row r="21" spans="1:16">
      <c r="A21" s="62" t="s">
        <v>12</v>
      </c>
      <c r="B21" s="37"/>
      <c r="C21" s="38"/>
      <c r="D21" s="38"/>
      <c r="E21" s="51"/>
      <c r="F21" s="220">
        <f t="shared" si="1"/>
        <v>0</v>
      </c>
      <c r="G21" s="214"/>
      <c r="H21" s="215"/>
      <c r="I21" s="215"/>
      <c r="J21" s="215"/>
      <c r="K21" s="216"/>
      <c r="L21" s="210">
        <f t="shared" si="2"/>
        <v>0</v>
      </c>
      <c r="M21" s="1">
        <f t="shared" si="0"/>
        <v>0</v>
      </c>
      <c r="N21" s="1"/>
      <c r="O21" s="1" t="s">
        <v>12</v>
      </c>
      <c r="P21" s="13"/>
    </row>
    <row r="22" spans="1:16" ht="15.75" thickBot="1">
      <c r="A22" s="65" t="s">
        <v>20</v>
      </c>
      <c r="B22" s="37"/>
      <c r="C22" s="38"/>
      <c r="D22" s="38"/>
      <c r="E22" s="51"/>
      <c r="F22" s="220">
        <f t="shared" si="1"/>
        <v>0</v>
      </c>
      <c r="G22" s="214"/>
      <c r="H22" s="215"/>
      <c r="I22" s="215"/>
      <c r="J22" s="215"/>
      <c r="K22" s="216"/>
      <c r="L22" s="210">
        <f t="shared" si="2"/>
        <v>0</v>
      </c>
      <c r="M22" s="1">
        <f t="shared" si="0"/>
        <v>0</v>
      </c>
      <c r="N22" s="1"/>
      <c r="O22" s="9" t="s">
        <v>20</v>
      </c>
      <c r="P22" s="28"/>
    </row>
    <row r="23" spans="1:16" ht="15.75" thickTop="1">
      <c r="A23" s="65" t="s">
        <v>21</v>
      </c>
      <c r="B23" s="37"/>
      <c r="C23" s="38"/>
      <c r="D23" s="38"/>
      <c r="E23" s="51"/>
      <c r="F23" s="220">
        <f t="shared" si="1"/>
        <v>0</v>
      </c>
      <c r="G23" s="214"/>
      <c r="H23" s="215"/>
      <c r="I23" s="215"/>
      <c r="J23" s="215"/>
      <c r="K23" s="216"/>
      <c r="L23" s="210">
        <f t="shared" si="2"/>
        <v>0</v>
      </c>
      <c r="M23" s="1">
        <f t="shared" si="0"/>
        <v>0</v>
      </c>
      <c r="N23" s="1"/>
      <c r="O23" s="9" t="s">
        <v>21</v>
      </c>
      <c r="P23" s="31" t="s">
        <v>39</v>
      </c>
    </row>
    <row r="24" spans="1:16" ht="15.75" thickBot="1">
      <c r="A24" s="65" t="s">
        <v>22</v>
      </c>
      <c r="B24" s="37"/>
      <c r="C24" s="38"/>
      <c r="D24" s="38"/>
      <c r="E24" s="51"/>
      <c r="F24" s="220">
        <f t="shared" si="1"/>
        <v>0</v>
      </c>
      <c r="G24" s="214"/>
      <c r="H24" s="215"/>
      <c r="I24" s="215"/>
      <c r="J24" s="215"/>
      <c r="K24" s="216"/>
      <c r="L24" s="210">
        <f t="shared" si="2"/>
        <v>0</v>
      </c>
      <c r="M24" s="1">
        <f t="shared" si="0"/>
        <v>0</v>
      </c>
      <c r="N24" s="1"/>
      <c r="O24" s="9" t="s">
        <v>22</v>
      </c>
      <c r="P24" s="32" t="e">
        <f>AVERAGE(K14:K23)</f>
        <v>#DIV/0!</v>
      </c>
    </row>
    <row r="25" spans="1:16" ht="15.75" thickTop="1">
      <c r="A25" s="65" t="s">
        <v>23</v>
      </c>
      <c r="B25" s="37"/>
      <c r="C25" s="38"/>
      <c r="D25" s="38"/>
      <c r="E25" s="51"/>
      <c r="F25" s="220">
        <f t="shared" si="1"/>
        <v>0</v>
      </c>
      <c r="G25" s="214"/>
      <c r="H25" s="215"/>
      <c r="I25" s="215"/>
      <c r="J25" s="215"/>
      <c r="K25" s="216"/>
      <c r="L25" s="210">
        <f t="shared" si="2"/>
        <v>0</v>
      </c>
      <c r="M25" s="1">
        <f t="shared" si="0"/>
        <v>0</v>
      </c>
      <c r="N25" s="1"/>
      <c r="O25" s="9" t="s">
        <v>23</v>
      </c>
      <c r="P25" s="30"/>
    </row>
    <row r="26" spans="1:16" ht="15.75" thickBot="1">
      <c r="A26" s="65" t="s">
        <v>24</v>
      </c>
      <c r="B26" s="37"/>
      <c r="C26" s="38"/>
      <c r="D26" s="38"/>
      <c r="E26" s="51"/>
      <c r="F26" s="220">
        <f t="shared" si="1"/>
        <v>0</v>
      </c>
      <c r="G26" s="214"/>
      <c r="H26" s="215"/>
      <c r="I26" s="215"/>
      <c r="J26" s="215"/>
      <c r="K26" s="216"/>
      <c r="L26" s="210">
        <f t="shared" si="2"/>
        <v>0</v>
      </c>
      <c r="M26" s="1">
        <f t="shared" si="0"/>
        <v>0</v>
      </c>
      <c r="N26" s="1"/>
      <c r="O26" s="9" t="s">
        <v>24</v>
      </c>
      <c r="P26" s="28"/>
    </row>
    <row r="27" spans="1:16">
      <c r="A27" s="65" t="s">
        <v>25</v>
      </c>
      <c r="B27" s="37"/>
      <c r="C27" s="38"/>
      <c r="D27" s="38"/>
      <c r="E27" s="51"/>
      <c r="F27" s="220">
        <f t="shared" si="1"/>
        <v>0</v>
      </c>
      <c r="G27" s="214"/>
      <c r="H27" s="215"/>
      <c r="I27" s="215"/>
      <c r="J27" s="215"/>
      <c r="K27" s="216"/>
      <c r="L27" s="210">
        <f t="shared" si="2"/>
        <v>0</v>
      </c>
      <c r="M27" s="1">
        <f t="shared" si="0"/>
        <v>0</v>
      </c>
      <c r="N27" s="1"/>
      <c r="O27" s="9" t="s">
        <v>25</v>
      </c>
      <c r="P27" s="11" t="s">
        <v>36</v>
      </c>
    </row>
    <row r="28" spans="1:16" ht="15.75" thickBot="1">
      <c r="A28" s="65" t="s">
        <v>26</v>
      </c>
      <c r="B28" s="40"/>
      <c r="C28" s="41"/>
      <c r="D28" s="41"/>
      <c r="E28" s="157"/>
      <c r="F28" s="220">
        <f t="shared" si="1"/>
        <v>0</v>
      </c>
      <c r="G28" s="217"/>
      <c r="H28" s="218"/>
      <c r="I28" s="218"/>
      <c r="J28" s="218"/>
      <c r="K28" s="219"/>
      <c r="L28" s="210">
        <f t="shared" si="2"/>
        <v>0</v>
      </c>
      <c r="M28" s="1">
        <f t="shared" si="0"/>
        <v>0</v>
      </c>
      <c r="N28" s="1"/>
      <c r="O28" s="9" t="s">
        <v>26</v>
      </c>
      <c r="P28" s="21">
        <f>AVERAGE(M17:M28)</f>
        <v>0</v>
      </c>
    </row>
    <row r="29" spans="1:16">
      <c r="A29" s="68" t="s">
        <v>44</v>
      </c>
      <c r="B29" s="121">
        <f t="shared" ref="B29:N29" si="3">SUM(B5:B28)</f>
        <v>0</v>
      </c>
      <c r="C29" s="122">
        <f t="shared" si="3"/>
        <v>0</v>
      </c>
      <c r="D29" s="122">
        <f t="shared" si="3"/>
        <v>1388</v>
      </c>
      <c r="E29" s="122">
        <f t="shared" si="3"/>
        <v>0</v>
      </c>
      <c r="F29" s="195">
        <f t="shared" si="3"/>
        <v>1388</v>
      </c>
      <c r="G29" s="128">
        <f t="shared" si="3"/>
        <v>6939</v>
      </c>
      <c r="H29" s="129">
        <f t="shared" si="3"/>
        <v>14205</v>
      </c>
      <c r="I29" s="129">
        <f t="shared" si="3"/>
        <v>17880</v>
      </c>
      <c r="J29" s="129">
        <f>SUM(J5:J28)</f>
        <v>2754</v>
      </c>
      <c r="K29" s="129">
        <f>SUM(K5:K28)</f>
        <v>14048</v>
      </c>
      <c r="L29" s="196">
        <f>SUM(L5:L28)</f>
        <v>55826</v>
      </c>
      <c r="M29" s="144">
        <f>SUM(M5:M28)</f>
        <v>-54438</v>
      </c>
      <c r="N29" s="175">
        <f t="shared" si="3"/>
        <v>797700</v>
      </c>
      <c r="O29" s="81" t="s">
        <v>45</v>
      </c>
    </row>
    <row r="30" spans="1:16" ht="15.75" thickBot="1">
      <c r="A30" s="69"/>
      <c r="B30" s="82"/>
      <c r="C30" s="199"/>
      <c r="D30" s="199"/>
      <c r="E30" s="199"/>
      <c r="F30" s="199"/>
      <c r="G30" s="84"/>
      <c r="H30" s="85"/>
      <c r="I30" s="85"/>
      <c r="J30" s="85"/>
      <c r="K30" s="85"/>
      <c r="L30" s="85"/>
      <c r="M30" s="85"/>
      <c r="N30" s="61"/>
      <c r="O30" s="76">
        <f>0-(G29-B29)</f>
        <v>-6939</v>
      </c>
    </row>
    <row r="31" spans="1:16" ht="15.75" thickBot="1">
      <c r="B31" s="6" t="s">
        <v>13</v>
      </c>
    </row>
    <row r="32" spans="1:16">
      <c r="A32" s="33">
        <v>40945</v>
      </c>
      <c r="B32" s="201" t="s">
        <v>42</v>
      </c>
      <c r="C32" s="202"/>
      <c r="D32" s="202"/>
      <c r="E32" s="202"/>
      <c r="F32" s="208" t="s">
        <v>57</v>
      </c>
      <c r="G32" s="200" t="s">
        <v>43</v>
      </c>
      <c r="H32" s="200"/>
      <c r="I32" s="200"/>
      <c r="J32" s="200"/>
      <c r="K32" s="200"/>
      <c r="L32" s="197"/>
      <c r="M32" s="1"/>
      <c r="N32" s="1"/>
      <c r="O32" s="1"/>
      <c r="P32" s="10"/>
    </row>
    <row r="33" spans="1:16">
      <c r="A33" s="1"/>
      <c r="B33" s="135" t="s">
        <v>0</v>
      </c>
      <c r="C33" s="6" t="s">
        <v>14</v>
      </c>
      <c r="D33" s="6" t="s">
        <v>15</v>
      </c>
      <c r="E33" s="136" t="s">
        <v>41</v>
      </c>
      <c r="F33" s="14" t="s">
        <v>44</v>
      </c>
      <c r="G33" s="135" t="s">
        <v>0</v>
      </c>
      <c r="H33" s="6" t="s">
        <v>14</v>
      </c>
      <c r="I33" s="6" t="s">
        <v>15</v>
      </c>
      <c r="J33" s="136" t="s">
        <v>41</v>
      </c>
      <c r="K33" s="119" t="s">
        <v>44</v>
      </c>
      <c r="L33" s="7" t="s">
        <v>16</v>
      </c>
      <c r="M33" s="8" t="s">
        <v>27</v>
      </c>
      <c r="N33" s="1"/>
      <c r="P33" s="27" t="s">
        <v>40</v>
      </c>
    </row>
    <row r="34" spans="1:16">
      <c r="A34" s="62" t="s">
        <v>1</v>
      </c>
      <c r="B34" s="45">
        <v>481</v>
      </c>
      <c r="C34" s="46"/>
      <c r="D34" s="46">
        <v>2408</v>
      </c>
      <c r="E34" s="47">
        <f>1971+418</f>
        <v>2389</v>
      </c>
      <c r="F34" s="220">
        <f>SUM(B34:E34)</f>
        <v>5278</v>
      </c>
      <c r="G34" s="211"/>
      <c r="H34" s="212"/>
      <c r="I34" s="212"/>
      <c r="J34" s="213">
        <f>903+583+1274</f>
        <v>2760</v>
      </c>
      <c r="K34" s="209">
        <f>SUM(G34:J34)</f>
        <v>2760</v>
      </c>
      <c r="L34" s="1">
        <f>SUM(B34:E34)-SUM(G34:J34)</f>
        <v>2518</v>
      </c>
      <c r="M34" s="1">
        <v>41953</v>
      </c>
      <c r="N34" s="1" t="s">
        <v>1</v>
      </c>
      <c r="P34" s="13"/>
    </row>
    <row r="35" spans="1:16">
      <c r="A35" s="62" t="s">
        <v>2</v>
      </c>
      <c r="B35" s="48">
        <v>740</v>
      </c>
      <c r="C35" s="49"/>
      <c r="D35" s="49">
        <v>2408</v>
      </c>
      <c r="E35" s="50">
        <f>2024+388</f>
        <v>2412</v>
      </c>
      <c r="F35" s="220">
        <f t="shared" ref="F35:F57" si="4">SUM(B35:E35)</f>
        <v>5560</v>
      </c>
      <c r="G35" s="214"/>
      <c r="H35" s="215"/>
      <c r="I35" s="215"/>
      <c r="J35" s="216">
        <f>737+588+1273</f>
        <v>2598</v>
      </c>
      <c r="K35" s="209">
        <f t="shared" ref="K35:K57" si="5">SUM(G35:J35)</f>
        <v>2598</v>
      </c>
      <c r="L35" s="1">
        <f>SUM(B35:E35)-SUM(G35:J35)</f>
        <v>2962</v>
      </c>
      <c r="M35" s="1">
        <v>40624</v>
      </c>
      <c r="N35" s="1" t="s">
        <v>2</v>
      </c>
      <c r="P35" s="13"/>
    </row>
    <row r="36" spans="1:16">
      <c r="A36" s="62" t="s">
        <v>3</v>
      </c>
      <c r="B36" s="48">
        <v>938</v>
      </c>
      <c r="C36" s="49"/>
      <c r="D36" s="49">
        <v>2460</v>
      </c>
      <c r="E36" s="50">
        <f>2446+546</f>
        <v>2992</v>
      </c>
      <c r="F36" s="220">
        <f t="shared" si="4"/>
        <v>6390</v>
      </c>
      <c r="G36" s="214"/>
      <c r="H36" s="215"/>
      <c r="I36" s="215"/>
      <c r="J36" s="216">
        <f>466+588+1280</f>
        <v>2334</v>
      </c>
      <c r="K36" s="209">
        <f t="shared" si="5"/>
        <v>2334</v>
      </c>
      <c r="L36" s="1">
        <f>SUM(B36:E36)-SUM(G36:J36)</f>
        <v>4056</v>
      </c>
      <c r="M36" s="1">
        <v>39591</v>
      </c>
      <c r="N36" s="1" t="s">
        <v>3</v>
      </c>
      <c r="P36" s="13"/>
    </row>
    <row r="37" spans="1:16">
      <c r="A37" s="62" t="s">
        <v>4</v>
      </c>
      <c r="B37" s="48">
        <v>811</v>
      </c>
      <c r="C37" s="49"/>
      <c r="D37" s="49">
        <v>2422</v>
      </c>
      <c r="E37" s="50">
        <f>2243+561</f>
        <v>2804</v>
      </c>
      <c r="F37" s="220">
        <f t="shared" si="4"/>
        <v>6037</v>
      </c>
      <c r="G37" s="214"/>
      <c r="H37" s="215"/>
      <c r="I37" s="215"/>
      <c r="J37" s="216">
        <f>581+573+1347</f>
        <v>2501</v>
      </c>
      <c r="K37" s="209">
        <f t="shared" si="5"/>
        <v>2501</v>
      </c>
      <c r="L37" s="1">
        <f>SUM(B37:E37)-SUM(G37:J37)</f>
        <v>3536</v>
      </c>
      <c r="M37" s="1">
        <v>39069</v>
      </c>
      <c r="N37" s="1" t="s">
        <v>4</v>
      </c>
      <c r="P37" s="13"/>
    </row>
    <row r="38" spans="1:16">
      <c r="A38" s="62" t="s">
        <v>28</v>
      </c>
      <c r="B38" s="48">
        <v>653</v>
      </c>
      <c r="C38" s="49"/>
      <c r="D38" s="49">
        <v>2361</v>
      </c>
      <c r="E38" s="50">
        <f>2085+330</f>
        <v>2415</v>
      </c>
      <c r="F38" s="220">
        <f t="shared" si="4"/>
        <v>5429</v>
      </c>
      <c r="G38" s="214"/>
      <c r="H38" s="215"/>
      <c r="I38" s="215"/>
      <c r="J38" s="216">
        <f>713+174+778</f>
        <v>1665</v>
      </c>
      <c r="K38" s="209">
        <f t="shared" si="5"/>
        <v>1665</v>
      </c>
      <c r="L38" s="1">
        <f>SUM(B38:E38)-SUM(G38:J38)</f>
        <v>3764</v>
      </c>
      <c r="M38" s="1">
        <v>39202</v>
      </c>
      <c r="N38" s="1" t="s">
        <v>28</v>
      </c>
      <c r="P38" s="13"/>
    </row>
    <row r="39" spans="1:16">
      <c r="A39" s="62" t="s">
        <v>5</v>
      </c>
      <c r="B39" s="48">
        <v>800</v>
      </c>
      <c r="C39" s="49"/>
      <c r="D39" s="49">
        <v>2223</v>
      </c>
      <c r="E39" s="50">
        <f>2181+485</f>
        <v>2666</v>
      </c>
      <c r="F39" s="220">
        <f t="shared" si="4"/>
        <v>5689</v>
      </c>
      <c r="G39" s="214"/>
      <c r="H39" s="215"/>
      <c r="I39" s="215"/>
      <c r="J39" s="216">
        <f>525+193+912</f>
        <v>1630</v>
      </c>
      <c r="K39" s="209">
        <f t="shared" si="5"/>
        <v>1630</v>
      </c>
      <c r="L39" s="1">
        <f>SUM(B39:E39)-SUM(G39:J39)</f>
        <v>4059</v>
      </c>
      <c r="M39" s="1">
        <v>40977</v>
      </c>
      <c r="N39" s="1" t="s">
        <v>5</v>
      </c>
      <c r="P39" s="13"/>
    </row>
    <row r="40" spans="1:16" ht="15.75" thickBot="1">
      <c r="A40" s="62" t="s">
        <v>9</v>
      </c>
      <c r="B40" s="48">
        <v>907</v>
      </c>
      <c r="C40" s="49"/>
      <c r="D40" s="49">
        <v>1880</v>
      </c>
      <c r="E40" s="50">
        <f>1892+573</f>
        <v>2465</v>
      </c>
      <c r="F40" s="220">
        <f t="shared" si="4"/>
        <v>5252</v>
      </c>
      <c r="G40" s="214"/>
      <c r="H40" s="215"/>
      <c r="I40" s="215"/>
      <c r="J40" s="216">
        <f>429+133+472</f>
        <v>1034</v>
      </c>
      <c r="K40" s="209">
        <f t="shared" si="5"/>
        <v>1034</v>
      </c>
      <c r="L40" s="1">
        <f>SUM(B40:E40)-SUM(G40:J40)</f>
        <v>4218</v>
      </c>
      <c r="M40" s="1">
        <v>45866</v>
      </c>
      <c r="N40" s="1" t="s">
        <v>9</v>
      </c>
      <c r="P40" s="28"/>
    </row>
    <row r="41" spans="1:16">
      <c r="A41" s="62" t="s">
        <v>6</v>
      </c>
      <c r="B41" s="48">
        <v>823</v>
      </c>
      <c r="C41" s="49"/>
      <c r="D41" s="49">
        <v>1409</v>
      </c>
      <c r="E41" s="50">
        <f>1098+751+304</f>
        <v>2153</v>
      </c>
      <c r="F41" s="220">
        <f t="shared" si="4"/>
        <v>4385</v>
      </c>
      <c r="G41" s="214"/>
      <c r="H41" s="215"/>
      <c r="I41" s="215"/>
      <c r="J41" s="216">
        <f>596+440</f>
        <v>1036</v>
      </c>
      <c r="K41" s="209">
        <f t="shared" si="5"/>
        <v>1036</v>
      </c>
      <c r="L41" s="1">
        <f>SUM(B41:E41)-SUM(G41:J41)</f>
        <v>3349</v>
      </c>
      <c r="M41" s="1">
        <v>50596</v>
      </c>
      <c r="N41" s="1" t="s">
        <v>6</v>
      </c>
      <c r="P41" s="11" t="s">
        <v>38</v>
      </c>
    </row>
    <row r="42" spans="1:16" ht="15.75" thickBot="1">
      <c r="A42" s="62" t="s">
        <v>34</v>
      </c>
      <c r="B42" s="48">
        <v>786</v>
      </c>
      <c r="C42" s="49"/>
      <c r="D42" s="49">
        <v>1518</v>
      </c>
      <c r="E42" s="50">
        <f>694+783+387</f>
        <v>1864</v>
      </c>
      <c r="F42" s="220">
        <f t="shared" si="4"/>
        <v>4168</v>
      </c>
      <c r="G42" s="214"/>
      <c r="H42" s="215"/>
      <c r="I42" s="215"/>
      <c r="J42" s="216">
        <f>520+297</f>
        <v>817</v>
      </c>
      <c r="K42" s="209">
        <f t="shared" si="5"/>
        <v>817</v>
      </c>
      <c r="L42" s="9">
        <f>SUM(B42:E42)-SUM(G42:J42)</f>
        <v>3351</v>
      </c>
      <c r="M42" s="1">
        <v>51720</v>
      </c>
      <c r="N42" s="1" t="s">
        <v>34</v>
      </c>
      <c r="P42" s="21">
        <f>AVERAGE(J53:J57,J34:J42)</f>
        <v>1819.4444444444443</v>
      </c>
    </row>
    <row r="43" spans="1:16" ht="15.75" thickBot="1">
      <c r="A43" s="62" t="s">
        <v>7</v>
      </c>
      <c r="B43" s="48"/>
      <c r="C43" s="49"/>
      <c r="D43" s="49"/>
      <c r="E43" s="50"/>
      <c r="F43" s="220">
        <f t="shared" si="4"/>
        <v>0</v>
      </c>
      <c r="G43" s="214"/>
      <c r="H43" s="215"/>
      <c r="I43" s="215"/>
      <c r="J43" s="216"/>
      <c r="K43" s="209">
        <f t="shared" si="5"/>
        <v>0</v>
      </c>
      <c r="L43" s="1">
        <f>SUM(B43:E43)-SUM(G43:J43)</f>
        <v>0</v>
      </c>
      <c r="M43" s="1"/>
      <c r="N43" s="1" t="s">
        <v>7</v>
      </c>
      <c r="P43" s="29"/>
    </row>
    <row r="44" spans="1:16">
      <c r="A44" s="62" t="s">
        <v>8</v>
      </c>
      <c r="B44" s="48"/>
      <c r="C44" s="49"/>
      <c r="D44" s="49"/>
      <c r="E44" s="50"/>
      <c r="F44" s="220">
        <f t="shared" si="4"/>
        <v>0</v>
      </c>
      <c r="G44" s="214"/>
      <c r="H44" s="215"/>
      <c r="I44" s="215"/>
      <c r="J44" s="216"/>
      <c r="K44" s="209">
        <f t="shared" si="5"/>
        <v>0</v>
      </c>
      <c r="L44" s="1">
        <f>SUM(B44:E44)-SUM(G44:J44)</f>
        <v>0</v>
      </c>
      <c r="M44" s="1"/>
      <c r="N44" s="1" t="s">
        <v>8</v>
      </c>
      <c r="P44" s="11" t="s">
        <v>35</v>
      </c>
    </row>
    <row r="45" spans="1:16" ht="15.75" thickBot="1">
      <c r="A45" s="62" t="s">
        <v>19</v>
      </c>
      <c r="B45" s="48"/>
      <c r="C45" s="49"/>
      <c r="D45" s="49"/>
      <c r="E45" s="50"/>
      <c r="F45" s="220">
        <f t="shared" si="4"/>
        <v>0</v>
      </c>
      <c r="G45" s="214"/>
      <c r="H45" s="215"/>
      <c r="I45" s="215"/>
      <c r="J45" s="216"/>
      <c r="K45" s="209">
        <f t="shared" si="5"/>
        <v>0</v>
      </c>
      <c r="L45" s="1">
        <f>SUM(B45:E45)-SUM(G45:J45)</f>
        <v>0</v>
      </c>
      <c r="M45" s="1"/>
      <c r="N45" s="1" t="s">
        <v>19</v>
      </c>
      <c r="P45" s="21">
        <f>AVERAGE(L34:L45)</f>
        <v>2651.0833333333335</v>
      </c>
    </row>
    <row r="46" spans="1:16">
      <c r="A46" s="62" t="s">
        <v>10</v>
      </c>
      <c r="B46" s="48"/>
      <c r="C46" s="49"/>
      <c r="D46" s="49"/>
      <c r="E46" s="50"/>
      <c r="F46" s="220">
        <f t="shared" si="4"/>
        <v>0</v>
      </c>
      <c r="G46" s="214"/>
      <c r="H46" s="215"/>
      <c r="I46" s="215"/>
      <c r="J46" s="216"/>
      <c r="K46" s="209">
        <f t="shared" si="5"/>
        <v>0</v>
      </c>
      <c r="L46" s="1">
        <f>SUM(B46:E46)-SUM(G46:J46)</f>
        <v>0</v>
      </c>
      <c r="M46" s="1"/>
      <c r="N46" s="1" t="s">
        <v>10</v>
      </c>
      <c r="P46" s="30"/>
    </row>
    <row r="47" spans="1:16">
      <c r="A47" s="62" t="s">
        <v>29</v>
      </c>
      <c r="B47" s="48"/>
      <c r="C47" s="49"/>
      <c r="D47" s="49"/>
      <c r="E47" s="50"/>
      <c r="F47" s="220">
        <f t="shared" si="4"/>
        <v>0</v>
      </c>
      <c r="G47" s="214"/>
      <c r="H47" s="215"/>
      <c r="I47" s="215"/>
      <c r="J47" s="216"/>
      <c r="K47" s="209">
        <f t="shared" si="5"/>
        <v>0</v>
      </c>
      <c r="L47" s="1">
        <f>SUM(B47:E47)-SUM(G47:J47)</f>
        <v>0</v>
      </c>
      <c r="M47" s="1"/>
      <c r="N47" s="1" t="s">
        <v>29</v>
      </c>
      <c r="P47" s="13"/>
    </row>
    <row r="48" spans="1:16">
      <c r="A48" s="62" t="s">
        <v>11</v>
      </c>
      <c r="B48" s="48"/>
      <c r="C48" s="49"/>
      <c r="D48" s="49"/>
      <c r="E48" s="50"/>
      <c r="F48" s="220">
        <f t="shared" si="4"/>
        <v>0</v>
      </c>
      <c r="G48" s="214"/>
      <c r="H48" s="215"/>
      <c r="I48" s="215"/>
      <c r="J48" s="216"/>
      <c r="K48" s="209">
        <f t="shared" si="5"/>
        <v>0</v>
      </c>
      <c r="L48" s="1">
        <f>SUM(B48:E48)-SUM(G48:J48)</f>
        <v>0</v>
      </c>
      <c r="M48" s="1"/>
      <c r="N48" s="1" t="s">
        <v>11</v>
      </c>
      <c r="P48" s="13"/>
    </row>
    <row r="49" spans="1:16">
      <c r="A49" s="62" t="s">
        <v>33</v>
      </c>
      <c r="B49" s="48"/>
      <c r="C49" s="49"/>
      <c r="D49" s="49"/>
      <c r="E49" s="50"/>
      <c r="F49" s="220">
        <f t="shared" si="4"/>
        <v>0</v>
      </c>
      <c r="G49" s="214"/>
      <c r="H49" s="215"/>
      <c r="I49" s="215"/>
      <c r="J49" s="216"/>
      <c r="K49" s="209">
        <f t="shared" si="5"/>
        <v>0</v>
      </c>
      <c r="L49" s="9">
        <f>SUM(B49:E49)-SUM(G49:J49)</f>
        <v>0</v>
      </c>
      <c r="M49" s="1"/>
      <c r="N49" s="1" t="s">
        <v>33</v>
      </c>
      <c r="P49" s="13"/>
    </row>
    <row r="50" spans="1:16">
      <c r="A50" s="62" t="s">
        <v>12</v>
      </c>
      <c r="B50" s="48"/>
      <c r="C50" s="49"/>
      <c r="D50" s="49"/>
      <c r="E50" s="50"/>
      <c r="F50" s="220">
        <f t="shared" si="4"/>
        <v>0</v>
      </c>
      <c r="G50" s="214"/>
      <c r="H50" s="215"/>
      <c r="I50" s="215"/>
      <c r="J50" s="216"/>
      <c r="K50" s="209">
        <f t="shared" si="5"/>
        <v>0</v>
      </c>
      <c r="L50" s="1">
        <f>SUM(B50:E50)-SUM(G50:J50)</f>
        <v>0</v>
      </c>
      <c r="M50" s="1"/>
      <c r="N50" s="1" t="s">
        <v>12</v>
      </c>
      <c r="P50" s="13"/>
    </row>
    <row r="51" spans="1:16" ht="15.75" thickBot="1">
      <c r="A51" s="65" t="s">
        <v>20</v>
      </c>
      <c r="B51" s="48"/>
      <c r="C51" s="49"/>
      <c r="D51" s="49"/>
      <c r="E51" s="50"/>
      <c r="F51" s="220">
        <f t="shared" si="4"/>
        <v>0</v>
      </c>
      <c r="G51" s="214"/>
      <c r="H51" s="215"/>
      <c r="I51" s="215"/>
      <c r="J51" s="216"/>
      <c r="K51" s="209">
        <f t="shared" si="5"/>
        <v>0</v>
      </c>
      <c r="L51" s="1">
        <f>SUM(B51:E51)-SUM(G51:J51)</f>
        <v>0</v>
      </c>
      <c r="M51" s="1"/>
      <c r="N51" s="9" t="s">
        <v>20</v>
      </c>
      <c r="P51" s="28"/>
    </row>
    <row r="52" spans="1:16" ht="15.75" thickTop="1">
      <c r="A52" s="65" t="s">
        <v>21</v>
      </c>
      <c r="B52" s="48"/>
      <c r="C52" s="49"/>
      <c r="D52" s="49"/>
      <c r="E52" s="50"/>
      <c r="F52" s="220">
        <f t="shared" si="4"/>
        <v>0</v>
      </c>
      <c r="G52" s="214"/>
      <c r="H52" s="215"/>
      <c r="I52" s="215"/>
      <c r="J52" s="216"/>
      <c r="K52" s="209">
        <f t="shared" si="5"/>
        <v>0</v>
      </c>
      <c r="L52" s="1">
        <f>SUM(B52:E52)-SUM(G52:J52)</f>
        <v>0</v>
      </c>
      <c r="M52" s="1"/>
      <c r="N52" s="9" t="s">
        <v>21</v>
      </c>
      <c r="P52" s="31" t="s">
        <v>39</v>
      </c>
    </row>
    <row r="53" spans="1:16" ht="15.75" thickBot="1">
      <c r="A53" s="65" t="s">
        <v>22</v>
      </c>
      <c r="B53" s="48"/>
      <c r="C53" s="49"/>
      <c r="D53" s="49"/>
      <c r="E53" s="50"/>
      <c r="F53" s="220">
        <f t="shared" si="4"/>
        <v>0</v>
      </c>
      <c r="G53" s="214"/>
      <c r="H53" s="215"/>
      <c r="I53" s="215"/>
      <c r="J53" s="216"/>
      <c r="K53" s="209">
        <f t="shared" si="5"/>
        <v>0</v>
      </c>
      <c r="L53" s="1">
        <f>SUM(B53:E53)-SUM(G53:J53)</f>
        <v>0</v>
      </c>
      <c r="M53" s="1"/>
      <c r="N53" s="9" t="s">
        <v>22</v>
      </c>
      <c r="P53" s="32" t="e">
        <f>AVERAGE(J43:J52)</f>
        <v>#DIV/0!</v>
      </c>
    </row>
    <row r="54" spans="1:16" ht="15.75" thickTop="1">
      <c r="A54" s="65" t="s">
        <v>23</v>
      </c>
      <c r="B54" s="48"/>
      <c r="C54" s="49"/>
      <c r="D54" s="49"/>
      <c r="E54" s="50"/>
      <c r="F54" s="220">
        <f t="shared" si="4"/>
        <v>0</v>
      </c>
      <c r="G54" s="214"/>
      <c r="H54" s="215"/>
      <c r="I54" s="215"/>
      <c r="J54" s="216"/>
      <c r="K54" s="209">
        <f t="shared" si="5"/>
        <v>0</v>
      </c>
      <c r="L54" s="1">
        <f>SUM(B54:E54)-SUM(G54:J54)</f>
        <v>0</v>
      </c>
      <c r="M54" s="1"/>
      <c r="N54" s="9" t="s">
        <v>23</v>
      </c>
      <c r="P54" s="30"/>
    </row>
    <row r="55" spans="1:16" ht="15.75" thickBot="1">
      <c r="A55" s="65" t="s">
        <v>24</v>
      </c>
      <c r="B55" s="48"/>
      <c r="C55" s="49"/>
      <c r="D55" s="49"/>
      <c r="E55" s="50"/>
      <c r="F55" s="220">
        <f t="shared" si="4"/>
        <v>0</v>
      </c>
      <c r="G55" s="214"/>
      <c r="H55" s="215"/>
      <c r="I55" s="215"/>
      <c r="J55" s="216"/>
      <c r="K55" s="209">
        <f t="shared" si="5"/>
        <v>0</v>
      </c>
      <c r="L55" s="1">
        <f>SUM(B55:E55)-SUM(G55:J55)</f>
        <v>0</v>
      </c>
      <c r="M55" s="1"/>
      <c r="N55" s="9" t="s">
        <v>24</v>
      </c>
      <c r="P55" s="28"/>
    </row>
    <row r="56" spans="1:16">
      <c r="A56" s="65" t="s">
        <v>25</v>
      </c>
      <c r="B56" s="48"/>
      <c r="C56" s="49"/>
      <c r="D56" s="49"/>
      <c r="E56" s="50"/>
      <c r="F56" s="220">
        <f t="shared" si="4"/>
        <v>0</v>
      </c>
      <c r="G56" s="214"/>
      <c r="H56" s="215"/>
      <c r="I56" s="215"/>
      <c r="J56" s="216"/>
      <c r="K56" s="209">
        <f t="shared" si="5"/>
        <v>0</v>
      </c>
      <c r="L56" s="1">
        <f>SUM(B56:E56)-SUM(G56:J56)</f>
        <v>0</v>
      </c>
      <c r="M56" s="1"/>
      <c r="N56" s="9" t="s">
        <v>25</v>
      </c>
      <c r="P56" s="11" t="s">
        <v>36</v>
      </c>
    </row>
    <row r="57" spans="1:16" ht="15.75" thickBot="1">
      <c r="A57" s="65" t="s">
        <v>26</v>
      </c>
      <c r="B57" s="140"/>
      <c r="C57" s="141"/>
      <c r="D57" s="141"/>
      <c r="E57" s="173"/>
      <c r="F57" s="220">
        <f t="shared" si="4"/>
        <v>0</v>
      </c>
      <c r="G57" s="217"/>
      <c r="H57" s="218"/>
      <c r="I57" s="218"/>
      <c r="J57" s="219"/>
      <c r="K57" s="9">
        <f t="shared" si="5"/>
        <v>0</v>
      </c>
      <c r="L57" s="1">
        <f>SUM(B57:E57)-SUM(G57:J57)</f>
        <v>0</v>
      </c>
      <c r="M57" s="1"/>
      <c r="N57" s="9" t="s">
        <v>26</v>
      </c>
      <c r="P57" s="21">
        <f>AVERAGE(L46:L57)</f>
        <v>0</v>
      </c>
    </row>
    <row r="58" spans="1:16" ht="15.75" thickBot="1">
      <c r="A58" s="69"/>
      <c r="B58" s="82"/>
      <c r="C58" s="199"/>
      <c r="D58" s="199"/>
      <c r="E58" s="199"/>
      <c r="F58" s="199"/>
      <c r="G58" s="84"/>
      <c r="H58" s="85"/>
      <c r="I58" s="85"/>
      <c r="J58" s="85"/>
      <c r="K58" s="85"/>
      <c r="L58" s="85"/>
      <c r="M58" s="85"/>
      <c r="N58" s="61"/>
      <c r="O58" s="76"/>
    </row>
  </sheetData>
  <mergeCells count="4">
    <mergeCell ref="B3:E3"/>
    <mergeCell ref="G3:K3"/>
    <mergeCell ref="B32:E32"/>
    <mergeCell ref="G32:K32"/>
  </mergeCells>
  <phoneticPr fontId="8" type="noConversion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8" type="noConversion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E8:I32"/>
  <sheetViews>
    <sheetView topLeftCell="A12" workbookViewId="0">
      <selection activeCell="K10" sqref="K10"/>
    </sheetView>
  </sheetViews>
  <sheetFormatPr baseColWidth="10" defaultRowHeight="15"/>
  <sheetData>
    <row r="8" spans="5:9">
      <c r="E8" s="2" t="s">
        <v>13</v>
      </c>
      <c r="F8" s="2" t="s">
        <v>14</v>
      </c>
      <c r="G8" s="2" t="s">
        <v>15</v>
      </c>
      <c r="H8" s="3" t="s">
        <v>17</v>
      </c>
      <c r="I8" s="7" t="s">
        <v>16</v>
      </c>
    </row>
    <row r="9" spans="5:9">
      <c r="E9" s="20"/>
      <c r="F9" s="20">
        <v>1062</v>
      </c>
      <c r="G9" s="20"/>
      <c r="H9" s="20">
        <f>1981+932</f>
        <v>2913</v>
      </c>
      <c r="I9" s="19">
        <f>0-(SUM(A9:D9)-SUM(E9:H9))</f>
        <v>3975</v>
      </c>
    </row>
    <row r="10" spans="5:9">
      <c r="E10" s="20"/>
      <c r="F10" s="20">
        <v>1106</v>
      </c>
      <c r="G10" s="20"/>
      <c r="H10" s="20">
        <f>1117+1989</f>
        <v>3106</v>
      </c>
      <c r="I10" s="19">
        <f>0-(SUM(A10:D10)-SUM(E10:H10))</f>
        <v>4212</v>
      </c>
    </row>
    <row r="11" spans="5:9">
      <c r="E11" s="20"/>
      <c r="F11" s="20">
        <v>1113</v>
      </c>
      <c r="G11" s="20"/>
      <c r="H11" s="20">
        <f>1989+1096</f>
        <v>3085</v>
      </c>
      <c r="I11" s="19">
        <f t="shared" ref="I11:I32" si="0">0-(SUM(A11:D11)-SUM(E11:H11))</f>
        <v>4198</v>
      </c>
    </row>
    <row r="12" spans="5:9">
      <c r="E12" s="20"/>
      <c r="F12" s="20">
        <v>1134</v>
      </c>
      <c r="G12" s="20"/>
      <c r="H12" s="20">
        <f>1112+1838</f>
        <v>2950</v>
      </c>
      <c r="I12" s="19">
        <f t="shared" si="0"/>
        <v>4084</v>
      </c>
    </row>
    <row r="13" spans="5:9">
      <c r="E13" s="20"/>
      <c r="F13" s="20">
        <v>1124</v>
      </c>
      <c r="G13" s="20"/>
      <c r="H13" s="20">
        <f>1063+1983</f>
        <v>3046</v>
      </c>
      <c r="I13" s="19">
        <f t="shared" si="0"/>
        <v>4170</v>
      </c>
    </row>
    <row r="14" spans="5:9">
      <c r="E14" s="20">
        <v>77</v>
      </c>
      <c r="F14" s="20">
        <v>1299</v>
      </c>
      <c r="G14" s="20"/>
      <c r="H14" s="20">
        <f>1140+1980</f>
        <v>3120</v>
      </c>
      <c r="I14" s="19">
        <f t="shared" si="0"/>
        <v>4496</v>
      </c>
    </row>
    <row r="15" spans="5:9">
      <c r="E15" s="20">
        <v>235</v>
      </c>
      <c r="F15" s="20">
        <v>1687</v>
      </c>
      <c r="G15" s="20">
        <v>60</v>
      </c>
      <c r="H15" s="20">
        <f>1172+1979</f>
        <v>3151</v>
      </c>
      <c r="I15" s="19">
        <f t="shared" si="0"/>
        <v>5133</v>
      </c>
    </row>
    <row r="16" spans="5:9">
      <c r="E16" s="20">
        <v>342</v>
      </c>
      <c r="F16" s="20">
        <v>1817</v>
      </c>
      <c r="G16" s="20">
        <v>1285</v>
      </c>
      <c r="H16" s="20">
        <f>1979+1012+28</f>
        <v>3019</v>
      </c>
      <c r="I16" s="19">
        <f t="shared" si="0"/>
        <v>6463</v>
      </c>
    </row>
    <row r="17" spans="5:9">
      <c r="E17" s="20">
        <f>236</f>
        <v>236</v>
      </c>
      <c r="F17" s="20">
        <v>2237</v>
      </c>
      <c r="G17" s="20">
        <v>1158</v>
      </c>
      <c r="H17" s="20">
        <f>1499+1028</f>
        <v>2527</v>
      </c>
      <c r="I17" s="19">
        <f t="shared" si="0"/>
        <v>6158</v>
      </c>
    </row>
    <row r="18" spans="5:9">
      <c r="E18" s="20">
        <v>549</v>
      </c>
      <c r="F18" s="20">
        <v>1970</v>
      </c>
      <c r="G18" s="20">
        <v>1508</v>
      </c>
      <c r="H18" s="20">
        <f>1494+348+982</f>
        <v>2824</v>
      </c>
      <c r="I18" s="19">
        <f t="shared" si="0"/>
        <v>6851</v>
      </c>
    </row>
    <row r="19" spans="5:9">
      <c r="E19" s="20">
        <v>579</v>
      </c>
      <c r="F19" s="20">
        <v>1821</v>
      </c>
      <c r="G19" s="20">
        <v>1327</v>
      </c>
      <c r="H19" s="20">
        <f>1039+181+1494</f>
        <v>2714</v>
      </c>
      <c r="I19" s="19">
        <f t="shared" si="0"/>
        <v>6441</v>
      </c>
    </row>
    <row r="20" spans="5:9">
      <c r="E20" s="20">
        <v>566</v>
      </c>
      <c r="F20" s="20">
        <v>1796</v>
      </c>
      <c r="G20" s="20">
        <v>964</v>
      </c>
      <c r="H20" s="20">
        <f>1065+1494</f>
        <v>2559</v>
      </c>
      <c r="I20" s="19">
        <f t="shared" si="0"/>
        <v>5885</v>
      </c>
    </row>
    <row r="21" spans="5:9">
      <c r="E21" s="20">
        <v>941</v>
      </c>
      <c r="F21" s="20">
        <v>1886</v>
      </c>
      <c r="G21" s="20">
        <v>1253</v>
      </c>
      <c r="H21" s="20">
        <f>1494+1003+332</f>
        <v>2829</v>
      </c>
      <c r="I21" s="19">
        <f t="shared" si="0"/>
        <v>6909</v>
      </c>
    </row>
    <row r="22" spans="5:9">
      <c r="E22" s="20">
        <v>945</v>
      </c>
      <c r="F22" s="20">
        <v>1719</v>
      </c>
      <c r="G22" s="20">
        <v>1262</v>
      </c>
      <c r="H22" s="20">
        <f>1494+1036+296</f>
        <v>2826</v>
      </c>
      <c r="I22" s="19">
        <f t="shared" si="0"/>
        <v>6752</v>
      </c>
    </row>
    <row r="23" spans="5:9">
      <c r="E23" s="20">
        <v>540</v>
      </c>
      <c r="F23" s="20">
        <v>1547</v>
      </c>
      <c r="G23" s="20">
        <v>860</v>
      </c>
      <c r="H23" s="20">
        <f>125+1039+1489</f>
        <v>2653</v>
      </c>
      <c r="I23" s="19">
        <f t="shared" si="0"/>
        <v>5600</v>
      </c>
    </row>
    <row r="24" spans="5:9">
      <c r="E24" s="20"/>
      <c r="F24" s="20">
        <v>1314</v>
      </c>
      <c r="G24" s="20">
        <v>366</v>
      </c>
      <c r="H24" s="20">
        <f>1058+1489</f>
        <v>2547</v>
      </c>
      <c r="I24" s="19">
        <f t="shared" si="0"/>
        <v>4227</v>
      </c>
    </row>
    <row r="25" spans="5:9">
      <c r="E25" s="20"/>
      <c r="F25" s="20">
        <v>1141</v>
      </c>
      <c r="G25" s="20">
        <v>28</v>
      </c>
      <c r="H25" s="20">
        <f>992+1489</f>
        <v>2481</v>
      </c>
      <c r="I25" s="19">
        <f t="shared" si="0"/>
        <v>3650</v>
      </c>
    </row>
    <row r="26" spans="5:9">
      <c r="E26" s="20"/>
      <c r="F26" s="20">
        <v>889</v>
      </c>
      <c r="G26" s="20"/>
      <c r="H26" s="20">
        <f>1030+1236</f>
        <v>2266</v>
      </c>
      <c r="I26" s="19">
        <f t="shared" si="0"/>
        <v>3155</v>
      </c>
    </row>
    <row r="27" spans="5:9">
      <c r="E27" s="20"/>
      <c r="F27" s="20">
        <v>1270</v>
      </c>
      <c r="G27" s="20">
        <v>1264</v>
      </c>
      <c r="H27" s="20">
        <f>267+902+1197</f>
        <v>2366</v>
      </c>
      <c r="I27" s="19">
        <f t="shared" si="0"/>
        <v>4900</v>
      </c>
    </row>
    <row r="28" spans="5:9">
      <c r="E28" s="20">
        <v>137</v>
      </c>
      <c r="F28" s="20">
        <v>1808</v>
      </c>
      <c r="G28" s="20">
        <v>1002</v>
      </c>
      <c r="H28" s="20">
        <f>1482+849</f>
        <v>2331</v>
      </c>
      <c r="I28" s="19">
        <f t="shared" si="0"/>
        <v>5278</v>
      </c>
    </row>
    <row r="29" spans="5:9">
      <c r="E29" s="20"/>
      <c r="F29" s="20">
        <v>1565</v>
      </c>
      <c r="G29" s="20">
        <v>738</v>
      </c>
      <c r="H29" s="20">
        <f>1482+821</f>
        <v>2303</v>
      </c>
      <c r="I29" s="19">
        <f t="shared" si="0"/>
        <v>4606</v>
      </c>
    </row>
    <row r="30" spans="5:9">
      <c r="E30" s="20"/>
      <c r="F30" s="20">
        <v>702</v>
      </c>
      <c r="G30" s="20">
        <v>576</v>
      </c>
      <c r="H30" s="20">
        <f>1483+894</f>
        <v>2377</v>
      </c>
      <c r="I30" s="19">
        <f t="shared" si="0"/>
        <v>3655</v>
      </c>
    </row>
    <row r="31" spans="5:9">
      <c r="E31" s="20">
        <v>370</v>
      </c>
      <c r="F31" s="20">
        <v>992</v>
      </c>
      <c r="G31" s="20">
        <v>785</v>
      </c>
      <c r="H31" s="20">
        <f>1026+1491+13</f>
        <v>2530</v>
      </c>
      <c r="I31" s="19">
        <f t="shared" si="0"/>
        <v>4677</v>
      </c>
    </row>
    <row r="32" spans="5:9">
      <c r="E32" s="20">
        <v>618</v>
      </c>
      <c r="F32" s="20">
        <v>944</v>
      </c>
      <c r="G32" s="20">
        <v>999</v>
      </c>
      <c r="H32" s="20">
        <f>1489+1004+458</f>
        <v>2951</v>
      </c>
      <c r="I32" s="19">
        <f t="shared" si="0"/>
        <v>5512</v>
      </c>
    </row>
  </sheetData>
  <phoneticPr fontId="8" type="noConversion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>
      <selection activeCell="B8" sqref="B8"/>
    </sheetView>
  </sheetViews>
  <sheetFormatPr baseColWidth="10" defaultRowHeight="1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>
      <c r="B1" s="90" t="s">
        <v>47</v>
      </c>
      <c r="C1" s="91"/>
      <c r="D1" s="96"/>
      <c r="E1" s="96"/>
    </row>
    <row r="2" spans="2:5">
      <c r="B2" s="90" t="s">
        <v>48</v>
      </c>
      <c r="C2" s="91"/>
      <c r="D2" s="96"/>
      <c r="E2" s="96"/>
    </row>
    <row r="3" spans="2:5">
      <c r="B3" s="92"/>
      <c r="C3" s="92"/>
      <c r="D3" s="97"/>
      <c r="E3" s="97"/>
    </row>
    <row r="4" spans="2:5" ht="60">
      <c r="B4" s="93" t="s">
        <v>49</v>
      </c>
      <c r="C4" s="92"/>
      <c r="D4" s="97"/>
      <c r="E4" s="97"/>
    </row>
    <row r="5" spans="2:5">
      <c r="B5" s="92"/>
      <c r="C5" s="92"/>
      <c r="D5" s="97"/>
      <c r="E5" s="97"/>
    </row>
    <row r="6" spans="2:5">
      <c r="B6" s="90" t="s">
        <v>50</v>
      </c>
      <c r="C6" s="91"/>
      <c r="D6" s="96"/>
      <c r="E6" s="98" t="s">
        <v>51</v>
      </c>
    </row>
    <row r="7" spans="2:5" ht="15.75" thickBot="1">
      <c r="B7" s="92"/>
      <c r="C7" s="92"/>
      <c r="D7" s="97"/>
      <c r="E7" s="97"/>
    </row>
    <row r="8" spans="2:5" ht="60.75" thickBot="1">
      <c r="B8" s="94" t="s">
        <v>52</v>
      </c>
      <c r="C8" s="95"/>
      <c r="D8" s="99"/>
      <c r="E8" s="100">
        <v>2</v>
      </c>
    </row>
    <row r="9" spans="2:5">
      <c r="B9" s="92"/>
      <c r="C9" s="92"/>
      <c r="D9" s="97"/>
      <c r="E9" s="97"/>
    </row>
    <row r="10" spans="2:5">
      <c r="B10" s="92"/>
      <c r="C10" s="92"/>
      <c r="D10" s="97"/>
      <c r="E10" s="97"/>
    </row>
  </sheetData>
  <phoneticPr fontId="8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Montag</vt:lpstr>
      <vt:lpstr>Dienstag</vt:lpstr>
      <vt:lpstr>Mittwoch</vt:lpstr>
      <vt:lpstr>Donnerstag</vt:lpstr>
      <vt:lpstr>Freitag</vt:lpstr>
      <vt:lpstr>Tabelle6</vt:lpstr>
      <vt:lpstr>Tabelle7</vt:lpstr>
      <vt:lpstr>Kompatibilitätsbericht</vt:lpstr>
      <vt:lpstr>Dienstag!Druckbereich</vt:lpstr>
      <vt:lpstr>Mittwoch!Druckbereich</vt:lpstr>
      <vt:lpstr>Montag!Druckbereich</vt:lpstr>
    </vt:vector>
  </TitlesOfParts>
  <Company>Deutscher Bundestag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kottingsyma02</dc:creator>
  <cp:lastModifiedBy>kottingsyma04</cp:lastModifiedBy>
  <cp:lastPrinted>2012-02-09T08:56:58Z</cp:lastPrinted>
  <dcterms:created xsi:type="dcterms:W3CDTF">2012-02-06T11:34:18Z</dcterms:created>
  <dcterms:modified xsi:type="dcterms:W3CDTF">2012-02-10T10:29:09Z</dcterms:modified>
</cp:coreProperties>
</file>